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pid\Downloads\"/>
    </mc:Choice>
  </mc:AlternateContent>
  <xr:revisionPtr revIDLastSave="0" documentId="13_ncr:1_{6D656043-CFB5-4FF6-9785-0DE47F1B2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01" i="1" l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<sst xmlns="http://schemas.openxmlformats.org/spreadsheetml/2006/main" count="30009" uniqueCount="10176">
  <si>
    <t>Email</t>
  </si>
  <si>
    <t>Amount</t>
  </si>
  <si>
    <t>Card_No</t>
  </si>
  <si>
    <t>CVV</t>
  </si>
  <si>
    <t>Month</t>
  </si>
  <si>
    <t>Year</t>
  </si>
  <si>
    <t>ipin</t>
  </si>
  <si>
    <t>Name1</t>
  </si>
  <si>
    <t>Mobile1</t>
  </si>
  <si>
    <t>Gunjan7648876604@yahoo.com</t>
  </si>
  <si>
    <t>PALAK7648876604@yahoo.com</t>
  </si>
  <si>
    <t>MONA7648876604@yahoo.com</t>
  </si>
  <si>
    <t>NITISH7648876604@yahoo.com</t>
  </si>
  <si>
    <t>CHINTU7648876604@yahoo.com</t>
  </si>
  <si>
    <t>Alok7648876604@yahoo.com</t>
  </si>
  <si>
    <t>Kirti7648876604@yahoo.com</t>
  </si>
  <si>
    <t>YASH7648876604@yahoo.com</t>
  </si>
  <si>
    <t>Atul7648876604@yahoo.com</t>
  </si>
  <si>
    <t>Riya7648876604@yahoo.com</t>
  </si>
  <si>
    <t>Lakhan7648876604@yahoo.com</t>
  </si>
  <si>
    <t>Piyush7648876604@yahoo.com</t>
  </si>
  <si>
    <t>Jatin7648876604@yahoo.com</t>
  </si>
  <si>
    <t>Rajat7648876604@yahoo.com</t>
  </si>
  <si>
    <t>Pinky7648876604@yahoo.com</t>
  </si>
  <si>
    <t>Jyoti7648876604@yahoo.com</t>
  </si>
  <si>
    <t>ABHI7648876604@yahoo.com</t>
  </si>
  <si>
    <t>MAYUR7648876604@yahoo.com</t>
  </si>
  <si>
    <t>BITTU7648876604@yahoo.com</t>
  </si>
  <si>
    <t>SUMAN7648876604@yahoo.com</t>
  </si>
  <si>
    <t>ASHOK7648876604@yahoo.com</t>
  </si>
  <si>
    <t>SIMMI7648876604@yahoo.com</t>
  </si>
  <si>
    <t>PANKAJ7648876604@yahoo.com</t>
  </si>
  <si>
    <t>ANU7648876604@yahoo.com</t>
  </si>
  <si>
    <t>SALONI7648876604@yahoo.com</t>
  </si>
  <si>
    <t>PARAG7648876604@yahoo.com</t>
  </si>
  <si>
    <t>ANUP7648876604@yahoo.com</t>
  </si>
  <si>
    <t>HIMANI7648876604@yahoo.com</t>
  </si>
  <si>
    <t>TARUN7648876604@yahoo.com</t>
  </si>
  <si>
    <t>MONIKA7648876604@yahoo.com</t>
  </si>
  <si>
    <t>RAKHI7648876604@yahoo.com</t>
  </si>
  <si>
    <t>REEMA7648876604@yahoo.com</t>
  </si>
  <si>
    <t>SHEENA7648876604@yahoo.com</t>
  </si>
  <si>
    <t>JIYA7648876604@yahoo.com</t>
  </si>
  <si>
    <t>HAPPY7648876604@yahoo.com</t>
  </si>
  <si>
    <t>MANSI7648876604@yahoo.com</t>
  </si>
  <si>
    <t>AVINASH7648876604@yahoo.com</t>
  </si>
  <si>
    <t>ANUJ7648876604@yahoo.com</t>
  </si>
  <si>
    <t>KAJAL7648876604@yahoo.com</t>
  </si>
  <si>
    <t>DEV7648876604@yahoo.com</t>
  </si>
  <si>
    <t>RAJESH7648876604@yahoo.com</t>
  </si>
  <si>
    <t>APURVA7648876604@yahoo.com</t>
  </si>
  <si>
    <t>JEETU7648876604@yahoo.com</t>
  </si>
  <si>
    <t>HARSHI7648876604@yahoo.com</t>
  </si>
  <si>
    <t>HITESH7648876604@yahoo.com</t>
  </si>
  <si>
    <t>KARAN8989697390@yahoo.com</t>
  </si>
  <si>
    <t>ANU8989697390@yahoo.com</t>
  </si>
  <si>
    <t>ABHI8989697390@yahoo.com</t>
  </si>
  <si>
    <t>AJAY8989697390@yahoo.com</t>
  </si>
  <si>
    <t>NIDHI8989697390@yahoo.com</t>
  </si>
  <si>
    <t>VIVEK8989697390@yahoo.com</t>
  </si>
  <si>
    <t>VIPUL8989697390@yahoo.com</t>
  </si>
  <si>
    <t>MONIKA8989697390@yahoo.com</t>
  </si>
  <si>
    <t>RAKHI8989697390@yahoo.com</t>
  </si>
  <si>
    <t>USHA8989697390@yahoo.com</t>
  </si>
  <si>
    <t>RAJESH8989697390@yahoo.com</t>
  </si>
  <si>
    <t>APURVA8989697390@yahoo.com</t>
  </si>
  <si>
    <t>JEETU8989697390@yahoo.com</t>
  </si>
  <si>
    <t>Rajat8989697390@yahoo.com</t>
  </si>
  <si>
    <t>Jyoti8989697390@yahoo.com</t>
  </si>
  <si>
    <t>Priya8989697390@yahoo.com</t>
  </si>
  <si>
    <t>Lalit8989697390@yahoo.com</t>
  </si>
  <si>
    <t>Piyush8989697390@yahoo.com</t>
  </si>
  <si>
    <t>Jatin8989697390@yahoo.com</t>
  </si>
  <si>
    <t>RONAK8989697390@yahoo.com</t>
  </si>
  <si>
    <t>SIA8989697390@yahoo.com</t>
  </si>
  <si>
    <t>Ashwin8989697390@yahoo.com</t>
  </si>
  <si>
    <t>Amit8989697390@yahoo.com</t>
  </si>
  <si>
    <t>AMAN8989697390@yahoo.com</t>
  </si>
  <si>
    <t>Raju8989697390@yahoo.com</t>
  </si>
  <si>
    <t>YASH8989697390@yahoo.com</t>
  </si>
  <si>
    <t>Atul8989697390@yahoo.com</t>
  </si>
  <si>
    <t>SUMAN9406582649@yahoo.com</t>
  </si>
  <si>
    <t>ASHOK9406582649@yahoo.com</t>
  </si>
  <si>
    <t>SIMMI9406582649@yahoo.com</t>
  </si>
  <si>
    <t>PANKAJ9406582649@yahoo.com</t>
  </si>
  <si>
    <t>ANU9406582649@yahoo.com</t>
  </si>
  <si>
    <t>SALONI9406582649@yahoo.com</t>
  </si>
  <si>
    <t>PARAG9406582649@yahoo.com</t>
  </si>
  <si>
    <t>ANUP9406582649@yahoo.com</t>
  </si>
  <si>
    <t>HIMANI9406582649@yahoo.com</t>
  </si>
  <si>
    <t>TARUN9406582649@yahoo.com</t>
  </si>
  <si>
    <t>MONIKA9406582649@yahoo.com</t>
  </si>
  <si>
    <t>RAKHI9406582649@yahoo.com</t>
  </si>
  <si>
    <t>REEMA9406582649@yahoo.com</t>
  </si>
  <si>
    <t>SHEENA9406582649@yahoo.com</t>
  </si>
  <si>
    <t>PALAK9406582649@yahoo.com</t>
  </si>
  <si>
    <t>MONA9406582649@yahoo.com</t>
  </si>
  <si>
    <t>NITISH9406582649@yahoo.com</t>
  </si>
  <si>
    <t>CHINTU9406582649@yahoo.com</t>
  </si>
  <si>
    <t>Alok9406582649@yahoo.com</t>
  </si>
  <si>
    <t>Kirti9406582649@yahoo.com</t>
  </si>
  <si>
    <t>YASH9406582649@yahoo.com</t>
  </si>
  <si>
    <t>Atul9406582649@yahoo.com</t>
  </si>
  <si>
    <t>Riya9406582649@yahoo.com</t>
  </si>
  <si>
    <t>Lakhan9406582649@yahoo.com</t>
  </si>
  <si>
    <t>Piyush9406582649@yahoo.com</t>
  </si>
  <si>
    <t>Jatin9406582649@yahoo.com</t>
  </si>
  <si>
    <t>Rajat9406582649@yahoo.com</t>
  </si>
  <si>
    <t>Pinky9406582649@yahoo.com</t>
  </si>
  <si>
    <t>Jyoti9406582649@yahoo.com</t>
  </si>
  <si>
    <t>ABHI9406980470@yahoo.com</t>
  </si>
  <si>
    <t>MAYUR9406980470@yahoo.com</t>
  </si>
  <si>
    <t>BITTU9406980470@yahoo.com</t>
  </si>
  <si>
    <t>SUMAN9406980470@yahoo.com</t>
  </si>
  <si>
    <t>ASHOK9406980470@yahoo.com</t>
  </si>
  <si>
    <t>SIMMI9406980470@yahoo.com</t>
  </si>
  <si>
    <t>PANKAJ9406980470@yahoo.com</t>
  </si>
  <si>
    <t>cC7hP6aA8</t>
  </si>
  <si>
    <t>oH4bS7pV4</t>
  </si>
  <si>
    <t>vS3hI6vB7</t>
  </si>
  <si>
    <t>eJ4wJ2eA3</t>
  </si>
  <si>
    <t>fG0kK8yT7</t>
  </si>
  <si>
    <t>uG6cM7qK0</t>
  </si>
  <si>
    <t>pJ8dH7vB8</t>
  </si>
  <si>
    <t>fW8xU7wP1</t>
  </si>
  <si>
    <t>sJ7mU7kD1</t>
  </si>
  <si>
    <t>hP6cL8yQ6</t>
  </si>
  <si>
    <t>tD7iI7nV2</t>
  </si>
  <si>
    <t>pE5xK4rU5</t>
  </si>
  <si>
    <t>pD0cS3kN6</t>
  </si>
  <si>
    <t>xO4lF8gB4</t>
  </si>
  <si>
    <t>bG6oX8cX0</t>
  </si>
  <si>
    <t>hP2pB6jW4</t>
  </si>
  <si>
    <t>qL8sH3gN4</t>
  </si>
  <si>
    <t>qK7rI8nS0</t>
  </si>
  <si>
    <t>eG6yD8oQ5</t>
  </si>
  <si>
    <t>xS0sE0dV1</t>
  </si>
  <si>
    <t>yW6tB4jK2</t>
  </si>
  <si>
    <t>kJ0cX1lC7</t>
  </si>
  <si>
    <t>dQ8eA4sO2</t>
  </si>
  <si>
    <t>bT8qS7lI2</t>
  </si>
  <si>
    <t>rM0hI4tW1</t>
  </si>
  <si>
    <t>eM2fJ2fW1</t>
  </si>
  <si>
    <t>dY1gN0eL6</t>
  </si>
  <si>
    <t>rS1gU0jW7</t>
  </si>
  <si>
    <t>gS3aY0bU8</t>
  </si>
  <si>
    <t>qV8mB2fJ8</t>
  </si>
  <si>
    <t>nO7xX8lY3</t>
  </si>
  <si>
    <t>aH3vB0kB3</t>
  </si>
  <si>
    <t>cS1uN1dB6</t>
  </si>
  <si>
    <t>uL7wH8xO0</t>
  </si>
  <si>
    <t>aW7hU5jO5</t>
  </si>
  <si>
    <t>jU6kA6fX8</t>
  </si>
  <si>
    <t>oQ6kV2tQ7</t>
  </si>
  <si>
    <t>sM0yX8gK8</t>
  </si>
  <si>
    <t>iF7hE3yY1</t>
  </si>
  <si>
    <t>hH4kL7uI8</t>
  </si>
  <si>
    <t>dX7kX0rK3</t>
  </si>
  <si>
    <t>pX1lP4nS8</t>
  </si>
  <si>
    <t>rI2oQ6lH8</t>
  </si>
  <si>
    <t>vP0iW2rY5</t>
  </si>
  <si>
    <t>vX5vA4bS5</t>
  </si>
  <si>
    <t>sJ6uU4jI8</t>
  </si>
  <si>
    <t>qN1aL2qJ8</t>
  </si>
  <si>
    <t>vY2oS7yM6</t>
  </si>
  <si>
    <t>wE7gG5yS6</t>
  </si>
  <si>
    <t>hS7fY4iE4</t>
  </si>
  <si>
    <t>wC1cY5vE3</t>
  </si>
  <si>
    <t>kB2nH7nG6</t>
  </si>
  <si>
    <t>bS3hH4eM7</t>
  </si>
  <si>
    <t>qX1jP0eI2</t>
  </si>
  <si>
    <t>pK5aV4yH5</t>
  </si>
  <si>
    <t>lI6cB6eY8</t>
  </si>
  <si>
    <t>nV3vR6eS4</t>
  </si>
  <si>
    <t>lX4hB3mL0</t>
  </si>
  <si>
    <t>dK3nF7wP2</t>
  </si>
  <si>
    <t>rA5cN6bX1</t>
  </si>
  <si>
    <t>tS7yP1eR7</t>
  </si>
  <si>
    <t>iO3iR7yK6</t>
  </si>
  <si>
    <t>jP4tY6pJ8</t>
  </si>
  <si>
    <t>yB1uF6uO6</t>
  </si>
  <si>
    <t>iF2wN6gE3</t>
  </si>
  <si>
    <t>uS6wF7yV3</t>
  </si>
  <si>
    <t>pY5iO8lA4</t>
  </si>
  <si>
    <t>tF2jQ4gR8</t>
  </si>
  <si>
    <t>uG1uS8dS7</t>
  </si>
  <si>
    <t>fG8mM6vC1</t>
  </si>
  <si>
    <t>uW3cD8dB7</t>
  </si>
  <si>
    <t>qU1pX8hO8</t>
  </si>
  <si>
    <t>iW7yB3qW6</t>
  </si>
  <si>
    <t>rB6mR0dO2</t>
  </si>
  <si>
    <t>uH2nV0mC6</t>
  </si>
  <si>
    <t>dI2gX3iK4</t>
  </si>
  <si>
    <t>rW3uO8hV5</t>
  </si>
  <si>
    <t>oE8pR4pE8</t>
  </si>
  <si>
    <t>aX5sE1yO4</t>
  </si>
  <si>
    <t>qP7hB7eY1</t>
  </si>
  <si>
    <t>yL1jW7cM6</t>
  </si>
  <si>
    <t>hS8mR3qY2</t>
  </si>
  <si>
    <t>oB4kI0qS0</t>
  </si>
  <si>
    <t>mH7nU8bS2</t>
  </si>
  <si>
    <t>bV0qL7oE4</t>
  </si>
  <si>
    <t>nV3rT2dV6</t>
  </si>
  <si>
    <t>rQ6eC7kQ1</t>
  </si>
  <si>
    <t>yV4qF8mD3</t>
  </si>
  <si>
    <t>yQ8pR8bJ3</t>
  </si>
  <si>
    <t>hK2jW4eI3</t>
  </si>
  <si>
    <t>yJ1bH4tT2</t>
  </si>
  <si>
    <t>gE4bW6cC1</t>
  </si>
  <si>
    <t>fW5rU3wQ1</t>
  </si>
  <si>
    <t>qR8nV0mB1</t>
  </si>
  <si>
    <t>vR2lU1oS4</t>
  </si>
  <si>
    <t>kC6aO4wG1</t>
  </si>
  <si>
    <t>rC2dH7lI8</t>
  </si>
  <si>
    <t>tF6vM8oP7</t>
  </si>
  <si>
    <t>nO5kD5vW4</t>
  </si>
  <si>
    <t>tW0pU2eN0</t>
  </si>
  <si>
    <t>eN0mO1hM3</t>
  </si>
  <si>
    <t>uK2eU4pF2</t>
  </si>
  <si>
    <t>gB0aV0bF4</t>
  </si>
  <si>
    <t>bJ4nI1mH3</t>
  </si>
  <si>
    <t>aM5oE0xV5</t>
  </si>
  <si>
    <t>oU8tI8kX1</t>
  </si>
  <si>
    <t>mF3xH5oK2</t>
  </si>
  <si>
    <t>kG1uL4nY8</t>
  </si>
  <si>
    <t>mQ7rP1hD0</t>
  </si>
  <si>
    <t>oT6qG6jO5</t>
  </si>
  <si>
    <t>vR7uJ1dH1</t>
  </si>
  <si>
    <t>eY6lX8dH6</t>
  </si>
  <si>
    <t>rW5uN3jH4</t>
  </si>
  <si>
    <t>kE3mO8xG7</t>
  </si>
  <si>
    <t>dX8hI0fD6</t>
  </si>
  <si>
    <t>rY8oJ4rN7</t>
  </si>
  <si>
    <t>xH6xF7hW6</t>
  </si>
  <si>
    <t>tU4hK1dV1</t>
  </si>
  <si>
    <t>gC1aF5vB2</t>
  </si>
  <si>
    <t>lX2sN8mO3</t>
  </si>
  <si>
    <t>nS7cW0hG1</t>
  </si>
  <si>
    <t>oI3bI1uI3</t>
  </si>
  <si>
    <t>xF2eM0kR2</t>
  </si>
  <si>
    <t>sJ1tL1dB3</t>
  </si>
  <si>
    <t>dT3tM7xB6</t>
  </si>
  <si>
    <t>tE1lE2tF4</t>
  </si>
  <si>
    <t>xO5nR3uI5</t>
  </si>
  <si>
    <t>uB0aN6jA6</t>
  </si>
  <si>
    <t>xT1aI6pS4</t>
  </si>
  <si>
    <t>rF3wE4mC5</t>
  </si>
  <si>
    <t>oW8iA3aA2</t>
  </si>
  <si>
    <t>sF2yJ1kF5</t>
  </si>
  <si>
    <t>jB1jU3tL7</t>
  </si>
  <si>
    <t>gA7jG5eU4</t>
  </si>
  <si>
    <t>jN6bE8xJ5</t>
  </si>
  <si>
    <t>pI6oO6cC4</t>
  </si>
  <si>
    <t>gI6dS5pL4</t>
  </si>
  <si>
    <t>tS4qW2sE3</t>
  </si>
  <si>
    <t>tA7wN0oM6</t>
  </si>
  <si>
    <t>nG1mF2tS2</t>
  </si>
  <si>
    <t>yT1cC4cA1</t>
  </si>
  <si>
    <t>kE4kC8xW2</t>
  </si>
  <si>
    <t>sR7qL5cR6</t>
  </si>
  <si>
    <t>oK8yS0xF4</t>
  </si>
  <si>
    <t>uL5gQ4fL7</t>
  </si>
  <si>
    <t>eI1gS0fF0</t>
  </si>
  <si>
    <t>oD6cE3iF1</t>
  </si>
  <si>
    <t>cC3kG6gX8</t>
  </si>
  <si>
    <t>bQ5qN3bM3</t>
  </si>
  <si>
    <t>eA2oL7cB0</t>
  </si>
  <si>
    <t>vS1wI5yL3</t>
  </si>
  <si>
    <t>lQ4yC2fR8</t>
  </si>
  <si>
    <t>bA5eR1eG2</t>
  </si>
  <si>
    <t>yP6rW1mO1</t>
  </si>
  <si>
    <t>jS8pA8vY7</t>
  </si>
  <si>
    <t>xA8aP8cM0</t>
  </si>
  <si>
    <t>rS0nJ5bY8</t>
  </si>
  <si>
    <t>wR7aQ7jP3</t>
  </si>
  <si>
    <t>qV4tP0yB6</t>
  </si>
  <si>
    <t>oW2lH6eY5</t>
  </si>
  <si>
    <t>qB6hH0pP0</t>
  </si>
  <si>
    <t>bN1iG1uY2</t>
  </si>
  <si>
    <t>oE2gO6aR4</t>
  </si>
  <si>
    <t>kR6tK6oB4</t>
  </si>
  <si>
    <t>oD4xT5yO8</t>
  </si>
  <si>
    <t>aO6uE7gB5</t>
  </si>
  <si>
    <t>oR6nT2fP4</t>
  </si>
  <si>
    <t>iO2eE8sI0</t>
  </si>
  <si>
    <t>tX5pR8gF6</t>
  </si>
  <si>
    <t>qB1lF4hN7</t>
  </si>
  <si>
    <t>lS6pN2qV2</t>
  </si>
  <si>
    <t>yU7xB3mA6</t>
  </si>
  <si>
    <t>vQ3fE8bS1</t>
  </si>
  <si>
    <t>rO1kU1nO5</t>
  </si>
  <si>
    <t>jS3cC5nW5</t>
  </si>
  <si>
    <t>vM0oX8yK8</t>
  </si>
  <si>
    <t>rE3uG5tN7</t>
  </si>
  <si>
    <t>eI4rG8bH8</t>
  </si>
  <si>
    <t>nT6nD8mK1</t>
  </si>
  <si>
    <t>iN2yF1gP5</t>
  </si>
  <si>
    <t>sV4aU7gD1</t>
  </si>
  <si>
    <t>wQ8iM6aI7</t>
  </si>
  <si>
    <t>iF6yN2yT5</t>
  </si>
  <si>
    <t>vD6iW6hB6</t>
  </si>
  <si>
    <t>vM0dL7jY4</t>
  </si>
  <si>
    <t>uG0wJ5yJ3</t>
  </si>
  <si>
    <t>sO0rQ8tY5</t>
  </si>
  <si>
    <t>rQ8tE4fN5</t>
  </si>
  <si>
    <t>qV4qL8cW1</t>
  </si>
  <si>
    <t>mM4oY7rX0</t>
  </si>
  <si>
    <t>iD4fT1bM1</t>
  </si>
  <si>
    <t>wD8nM7pD3</t>
  </si>
  <si>
    <t>iM1jP8qD5</t>
  </si>
  <si>
    <t>nO5eM6gD4</t>
  </si>
  <si>
    <t>lM0wA3bX8</t>
  </si>
  <si>
    <t>mQ7mB6nE4</t>
  </si>
  <si>
    <t>dJ2nP2xF1</t>
  </si>
  <si>
    <t>wC5kC0jJ0</t>
  </si>
  <si>
    <t>cJ0sS4kT3</t>
  </si>
  <si>
    <t>jS1eO0eE8</t>
  </si>
  <si>
    <t>wF5yQ2cN6</t>
  </si>
  <si>
    <t>mX4gW1jP4</t>
  </si>
  <si>
    <t>rU3vX6dW4</t>
  </si>
  <si>
    <t>nW0oM2rH6</t>
  </si>
  <si>
    <t>mN4uE4bM4</t>
  </si>
  <si>
    <t>iH6iO8vF4</t>
  </si>
  <si>
    <t>uK1iV3cE5</t>
  </si>
  <si>
    <t>bF4wB3pS7</t>
  </si>
  <si>
    <t>oD4vX3vG7</t>
  </si>
  <si>
    <t>gE3qT6yL3</t>
  </si>
  <si>
    <t>fW0dP1yE7</t>
  </si>
  <si>
    <t>mI6pD5iF0</t>
  </si>
  <si>
    <t>jS5sD5lB6</t>
  </si>
  <si>
    <t>qO8jT5iA6</t>
  </si>
  <si>
    <t>sL7dQ6eX7</t>
  </si>
  <si>
    <t>kA4qF7sK8</t>
  </si>
  <si>
    <t>qH8aI4fF7</t>
  </si>
  <si>
    <t>eK2cF5uT7</t>
  </si>
  <si>
    <t>aA4xL5cE1</t>
  </si>
  <si>
    <t>aO6yP8wJ1</t>
  </si>
  <si>
    <t>xJ8cB3mY4</t>
  </si>
  <si>
    <t>wC7jG6qA1</t>
  </si>
  <si>
    <t>eN8vQ4dH7</t>
  </si>
  <si>
    <t>wS8uR2wY3</t>
  </si>
  <si>
    <t>pX4hP5nS2</t>
  </si>
  <si>
    <t>qW6mU6fM8</t>
  </si>
  <si>
    <t>hO8tB2mE0</t>
  </si>
  <si>
    <t>gG2tK3vP2</t>
  </si>
  <si>
    <t>iD0qX3gL4</t>
  </si>
  <si>
    <t>gC5yC3jG2</t>
  </si>
  <si>
    <t>kV3cC0kX7</t>
  </si>
  <si>
    <t>iY1hJ7eF1</t>
  </si>
  <si>
    <t>nL1kJ7rM4</t>
  </si>
  <si>
    <t>eN4sQ0rG6</t>
  </si>
  <si>
    <t>fN5cV8iB2</t>
  </si>
  <si>
    <t>lC5cN4pY7</t>
  </si>
  <si>
    <t>sI7nT8sT2</t>
  </si>
  <si>
    <t>wL7bI7rQ2</t>
  </si>
  <si>
    <t>tS2jD0cD1</t>
  </si>
  <si>
    <t>tS6hH0jR3</t>
  </si>
  <si>
    <t>pQ5iX3kW3</t>
  </si>
  <si>
    <t>pK3tJ7uY2</t>
  </si>
  <si>
    <t>yO0dL6vH7</t>
  </si>
  <si>
    <t>iE3lG2sF7</t>
  </si>
  <si>
    <t>pA7fU1xF0</t>
  </si>
  <si>
    <t>dT2pK5iX6</t>
  </si>
  <si>
    <t>gN7hK1sT0</t>
  </si>
  <si>
    <t>cR4oT4yA4</t>
  </si>
  <si>
    <t>nO0gK6sF8</t>
  </si>
  <si>
    <t>hS0tP0mM3</t>
  </si>
  <si>
    <t>yY8fL8lF7</t>
  </si>
  <si>
    <t>rW4oW6pB6</t>
  </si>
  <si>
    <t>dN0bR3dO7</t>
  </si>
  <si>
    <t>uJ0aW1rK4</t>
  </si>
  <si>
    <t>qW5oS3oO7</t>
  </si>
  <si>
    <t>cD7cJ0bU2</t>
  </si>
  <si>
    <t>oF3mU2xQ8</t>
  </si>
  <si>
    <t>oR0qJ7iD1</t>
  </si>
  <si>
    <t>kV1cX2xJ5</t>
  </si>
  <si>
    <t>rB5kC7fB8</t>
  </si>
  <si>
    <t>iY3fQ5gS4</t>
  </si>
  <si>
    <t>iU2eB3wN5</t>
  </si>
  <si>
    <t>tR6oF7cT0</t>
  </si>
  <si>
    <t>yC4eJ6eT6</t>
  </si>
  <si>
    <t>dN5fG8lX4</t>
  </si>
  <si>
    <t>gT8pI4yC4</t>
  </si>
  <si>
    <t>yS7yG1pY2</t>
  </si>
  <si>
    <t>fA7wV4aL0</t>
  </si>
  <si>
    <t>wR4cL0sQ4</t>
  </si>
  <si>
    <t>nG5vI7hV4</t>
  </si>
  <si>
    <t>nX5nY6mJ7</t>
  </si>
  <si>
    <t>pU5kS3cK8</t>
  </si>
  <si>
    <t>oW4yW5bM8</t>
  </si>
  <si>
    <t>mD4yF2pI6</t>
  </si>
  <si>
    <t>eR8iG0nO2</t>
  </si>
  <si>
    <t>nJ2rS0lS6</t>
  </si>
  <si>
    <t>nF4fJ0kQ1</t>
  </si>
  <si>
    <t>hT7lV6cT2</t>
  </si>
  <si>
    <t>fE3rG1xU1</t>
  </si>
  <si>
    <t>wB0eP8bI4</t>
  </si>
  <si>
    <t>sN4yS4pH4</t>
  </si>
  <si>
    <t>vN3nG0xG0</t>
  </si>
  <si>
    <t>gC0mB6kF4</t>
  </si>
  <si>
    <t>kE7qY3hA4</t>
  </si>
  <si>
    <t>bU2iP5bP1</t>
  </si>
  <si>
    <t>wN5yX1wW7</t>
  </si>
  <si>
    <t>rM1nK5bJ2</t>
  </si>
  <si>
    <t>gF2kL8eR8</t>
  </si>
  <si>
    <t>wL0uQ3sH7</t>
  </si>
  <si>
    <t>mL6kP8cC1</t>
  </si>
  <si>
    <t>lI2bN5wI8</t>
  </si>
  <si>
    <t>fV4bL5xM4</t>
  </si>
  <si>
    <t>pK3cS6gB5</t>
  </si>
  <si>
    <t>tA5mW2bX5</t>
  </si>
  <si>
    <t>qY2hH7mE3</t>
  </si>
  <si>
    <t>oR1rR5dF8</t>
  </si>
  <si>
    <t>jN0sP0lI3</t>
  </si>
  <si>
    <t>vG2iG2pA5</t>
  </si>
  <si>
    <t>vR7vI2bQ5</t>
  </si>
  <si>
    <t>vO5mW2mU5</t>
  </si>
  <si>
    <t>jR7rN0rQ8</t>
  </si>
  <si>
    <t>aH1uF1bE1</t>
  </si>
  <si>
    <t>kC7wX6xS7</t>
  </si>
  <si>
    <t>xY4fP1bJ3</t>
  </si>
  <si>
    <t>qH3oJ8wU7</t>
  </si>
  <si>
    <t>wA5vP3uT8</t>
  </si>
  <si>
    <t>jW3xV7mQ8</t>
  </si>
  <si>
    <t>iK4sJ6tY8</t>
  </si>
  <si>
    <t>fL1eN6pS6</t>
  </si>
  <si>
    <t>sR0qL7aO5</t>
  </si>
  <si>
    <t>aK7mM5dH8</t>
  </si>
  <si>
    <t>fS0iX8mG7</t>
  </si>
  <si>
    <t>yT5cO1gN4</t>
  </si>
  <si>
    <t>pQ5hV6oS6</t>
  </si>
  <si>
    <t>bH3kU2iM6</t>
  </si>
  <si>
    <t>aJ4oQ0oT5</t>
  </si>
  <si>
    <t>qR5jY1vF0</t>
  </si>
  <si>
    <t>rE5bC3uY4</t>
  </si>
  <si>
    <t>qR7vV2xE0</t>
  </si>
  <si>
    <t>xY5fG6cT7</t>
  </si>
  <si>
    <t>sY3uG2jE7</t>
  </si>
  <si>
    <t>yY5aU2gC0</t>
  </si>
  <si>
    <t>uI1sO3lR0</t>
  </si>
  <si>
    <t>iR0oN7mS0</t>
  </si>
  <si>
    <t>hQ2eL5jG1</t>
  </si>
  <si>
    <t>wK0dS1hJ6</t>
  </si>
  <si>
    <t>iN4cE0lS5</t>
  </si>
  <si>
    <t>yF1nN7fA4</t>
  </si>
  <si>
    <t>oV7uG2qF2</t>
  </si>
  <si>
    <t>pN7dX0nU8</t>
  </si>
  <si>
    <t>eM8jD2mI7</t>
  </si>
  <si>
    <t>oV5jW4cF5</t>
  </si>
  <si>
    <t>mL0rW6nF5</t>
  </si>
  <si>
    <t>cJ2mM2xC4</t>
  </si>
  <si>
    <t>vJ7xT5rK3</t>
  </si>
  <si>
    <t>vG8eW2mU6</t>
  </si>
  <si>
    <t>hY3iI0xQ7</t>
  </si>
  <si>
    <t>lY5bH5bG1</t>
  </si>
  <si>
    <t>dS7kS2nH3</t>
  </si>
  <si>
    <t>gE2hE7vC0</t>
  </si>
  <si>
    <t>kU7mW8jV3</t>
  </si>
  <si>
    <t>oA5yG2rM1</t>
  </si>
  <si>
    <t>rH4aK1oD5</t>
  </si>
  <si>
    <t>lM7eR0hI6</t>
  </si>
  <si>
    <t>nM0pR2uY3</t>
  </si>
  <si>
    <t>aN0vX5fB7</t>
  </si>
  <si>
    <t>bQ3aI7wU6</t>
  </si>
  <si>
    <t>kX8hO8yT7</t>
  </si>
  <si>
    <t>qN5gG2yP1</t>
  </si>
  <si>
    <t>fS5qW1vO0</t>
  </si>
  <si>
    <t>aP8wM3cA0</t>
  </si>
  <si>
    <t>pT4eN3vH3</t>
  </si>
  <si>
    <t>xI6nF4lY6</t>
  </si>
  <si>
    <t>qQ4bE0tC5</t>
  </si>
  <si>
    <t>dA7iW2kG0</t>
  </si>
  <si>
    <t>qH3uO0xI6</t>
  </si>
  <si>
    <t>pV7aK0eR6</t>
  </si>
  <si>
    <t>lD3gS4dP3</t>
  </si>
  <si>
    <t>bU2xD0wS3</t>
  </si>
  <si>
    <t>fD0vQ1jP1</t>
  </si>
  <si>
    <t>wK0kA4nO2</t>
  </si>
  <si>
    <t>qT1aW0uF8</t>
  </si>
  <si>
    <t>uE3oQ4pW2</t>
  </si>
  <si>
    <t>gI7dP7vC0</t>
  </si>
  <si>
    <t>vH5uJ6xI6</t>
  </si>
  <si>
    <t>qY1qK7oM8</t>
  </si>
  <si>
    <t>iY0lC6hI0</t>
  </si>
  <si>
    <t>mH3yM1oP5</t>
  </si>
  <si>
    <t>xB3hN1tW1</t>
  </si>
  <si>
    <t>hY6eN5hR8</t>
  </si>
  <si>
    <t>lP7sU1xT6</t>
  </si>
  <si>
    <t>vV4gY3dI4</t>
  </si>
  <si>
    <t>dX7yG3pI2</t>
  </si>
  <si>
    <t>nJ5fE3mS5</t>
  </si>
  <si>
    <t>pD4wY8nS6</t>
  </si>
  <si>
    <t>xQ8uS5gG3</t>
  </si>
  <si>
    <t>kA0oD2tE8</t>
  </si>
  <si>
    <t>vH2lT3hX4</t>
  </si>
  <si>
    <t>dT6sL3cA2</t>
  </si>
  <si>
    <t>kM3oS6dD7</t>
  </si>
  <si>
    <t>iS6wE3rP4</t>
  </si>
  <si>
    <t>wI4kM6sH1</t>
  </si>
  <si>
    <t>jG3yK2dU2</t>
  </si>
  <si>
    <t>cK8dY0bA7</t>
  </si>
  <si>
    <t>iQ4sL7mB4</t>
  </si>
  <si>
    <t>uV3uC7bB2</t>
  </si>
  <si>
    <t>vU4hN1pI3</t>
  </si>
  <si>
    <t>xL7oT6qC6</t>
  </si>
  <si>
    <t>jO5rF7oA2</t>
  </si>
  <si>
    <t>eK8wO6qC8</t>
  </si>
  <si>
    <t>dT5sL7lQ5</t>
  </si>
  <si>
    <t>oG4xW0oB0</t>
  </si>
  <si>
    <t>rS1lC0wX5</t>
  </si>
  <si>
    <t>vB3xR0qA4</t>
  </si>
  <si>
    <t>nI6eC3aQ8</t>
  </si>
  <si>
    <t>wX7bY3xU6</t>
  </si>
  <si>
    <t>gG7aE2sE5</t>
  </si>
  <si>
    <t>fI4gL7kW8</t>
  </si>
  <si>
    <t>wK2tI5xY6</t>
  </si>
  <si>
    <t>mD2vL2pV4</t>
  </si>
  <si>
    <t>vJ4aG6qI6</t>
  </si>
  <si>
    <t>aT0jG5tP4</t>
  </si>
  <si>
    <t>tN4iY5iD0</t>
  </si>
  <si>
    <t>wP0bB5rV8</t>
  </si>
  <si>
    <t>xF7pP6mX6</t>
  </si>
  <si>
    <t>aK2hG1fO0</t>
  </si>
  <si>
    <t>mI0xB1uR2</t>
  </si>
  <si>
    <t>wA1tL1qD1</t>
  </si>
  <si>
    <t>wL6vL2hC5</t>
  </si>
  <si>
    <t>sA2rC6aM7</t>
  </si>
  <si>
    <t>oD0iS1kD6</t>
  </si>
  <si>
    <t>wA2uX0qC4</t>
  </si>
  <si>
    <t>sQ5mH3iK6</t>
  </si>
  <si>
    <t>pA6bP2tP2</t>
  </si>
  <si>
    <t>gQ8aV7pG8</t>
  </si>
  <si>
    <t>sJ2bX6vK1</t>
  </si>
  <si>
    <t>jW4bA1yA1</t>
  </si>
  <si>
    <t>aV7rB5mB4</t>
  </si>
  <si>
    <t>eJ2oV5dV8</t>
  </si>
  <si>
    <t>bM4rL0cT2</t>
  </si>
  <si>
    <t>tG1eJ0bE1</t>
  </si>
  <si>
    <t>bI1jU5dK3</t>
  </si>
  <si>
    <t>uU2bM4uO3</t>
  </si>
  <si>
    <t>bH5wU3bJ4</t>
  </si>
  <si>
    <t>bL4sQ1nY4</t>
  </si>
  <si>
    <t>kV5aL7hI8</t>
  </si>
  <si>
    <t>kU2xL7uM7</t>
  </si>
  <si>
    <t>lF2rS5kI3</t>
  </si>
  <si>
    <t>dT2lP7cW7</t>
  </si>
  <si>
    <t>wS2qF2fG3</t>
  </si>
  <si>
    <t>tD4cA1aO0</t>
  </si>
  <si>
    <t>bT7gN3pF1</t>
  </si>
  <si>
    <t>lS7dD4eR7</t>
  </si>
  <si>
    <t>vW7lV4wH2</t>
  </si>
  <si>
    <t>tJ2gD4cS1</t>
  </si>
  <si>
    <t>rX0bS6xL7</t>
  </si>
  <si>
    <t>yG7nS3lA1</t>
  </si>
  <si>
    <t>yO7pI7aE8</t>
  </si>
  <si>
    <t>aD1oL5xQ5</t>
  </si>
  <si>
    <t>fG8sS2fV3</t>
  </si>
  <si>
    <t>tV7qM3lA2</t>
  </si>
  <si>
    <t>fE7wH0qF4</t>
  </si>
  <si>
    <t>aK6hC8sC0</t>
  </si>
  <si>
    <t>vH3lX2qJ5</t>
  </si>
  <si>
    <t>eY2cW2oG3</t>
  </si>
  <si>
    <t>qP5eO3iA7</t>
  </si>
  <si>
    <t>yE4pX8rL4</t>
  </si>
  <si>
    <t>vC7eV2iU2</t>
  </si>
  <si>
    <t>iT7cU2jO4</t>
  </si>
  <si>
    <t>bV2yF4iM1</t>
  </si>
  <si>
    <t>fI0gE7tD5</t>
  </si>
  <si>
    <t>jU0xS0yX2</t>
  </si>
  <si>
    <t>wR2dQ0cK2</t>
  </si>
  <si>
    <t>wK5uM0pD6</t>
  </si>
  <si>
    <t>bD8gG1lP0</t>
  </si>
  <si>
    <t>yL7aF3uV6</t>
  </si>
  <si>
    <t>jC3bV3gX0</t>
  </si>
  <si>
    <t>tG3gV6dF0</t>
  </si>
  <si>
    <t>kY1rF3bY2</t>
  </si>
  <si>
    <t>pB4eH0jB1</t>
  </si>
  <si>
    <t>aL2gQ0tM3</t>
  </si>
  <si>
    <t>nH3mL1cT8</t>
  </si>
  <si>
    <t>bP4vG8jD8</t>
  </si>
  <si>
    <t>kC8dS8tA6</t>
  </si>
  <si>
    <t>sF1hO5hD7</t>
  </si>
  <si>
    <t>bU3qR0sU2</t>
  </si>
  <si>
    <t>bM7uM3iP2</t>
  </si>
  <si>
    <t>lT2yK6uY3</t>
  </si>
  <si>
    <t>bS8wA6rX2</t>
  </si>
  <si>
    <t>oP5xF2qR8</t>
  </si>
  <si>
    <t>vQ4kD1qE3</t>
  </si>
  <si>
    <t>tA1vQ2pB0</t>
  </si>
  <si>
    <t>qL3lD4fN1</t>
  </si>
  <si>
    <t>bM5gO0aP2</t>
  </si>
  <si>
    <t>rS1hA2kY6</t>
  </si>
  <si>
    <t>yH5nM0qV4</t>
  </si>
  <si>
    <t>vO8wS4wY7</t>
  </si>
  <si>
    <t>wM6cV2dD5</t>
  </si>
  <si>
    <t>tR0vN5cC3</t>
  </si>
  <si>
    <t>hP1nD4vO2</t>
  </si>
  <si>
    <t>eF3iB0sR0</t>
  </si>
  <si>
    <t>sL4sM5qQ0</t>
  </si>
  <si>
    <t>cJ5aU5dB4</t>
  </si>
  <si>
    <t>mT5sX1dO6</t>
  </si>
  <si>
    <t>wF4xO5oV5</t>
  </si>
  <si>
    <t>bD8xQ5uX1</t>
  </si>
  <si>
    <t>rH8sS8pK0</t>
  </si>
  <si>
    <t>pU0wV7nX0</t>
  </si>
  <si>
    <t>xH5jB7dC3</t>
  </si>
  <si>
    <t>fQ8lX3yI3</t>
  </si>
  <si>
    <t>qX2lH3oI0</t>
  </si>
  <si>
    <t>bJ3qI7hQ2</t>
  </si>
  <si>
    <t>xR8cF3pT6</t>
  </si>
  <si>
    <t>tF2sW5oE2</t>
  </si>
  <si>
    <t>oP8mA5tK4</t>
  </si>
  <si>
    <t>yN4oL6xB1</t>
  </si>
  <si>
    <t>cD7dT7eY6</t>
  </si>
  <si>
    <t>tQ1wR8dD3</t>
  </si>
  <si>
    <t>fS3yJ1oU6</t>
  </si>
  <si>
    <t>dA6kQ1uS1</t>
  </si>
  <si>
    <t>eL4mN3bB7</t>
  </si>
  <si>
    <t>qD1cO3rR7</t>
  </si>
  <si>
    <t>dW5gT5iK2</t>
  </si>
  <si>
    <t>vP5rG5lB7</t>
  </si>
  <si>
    <t>bG1yC7jM4</t>
  </si>
  <si>
    <t>eY0kI1lV6</t>
  </si>
  <si>
    <t>wT7gC2cT0</t>
  </si>
  <si>
    <t>gF2vM2mK3</t>
  </si>
  <si>
    <t>pF2lQ7aN0</t>
  </si>
  <si>
    <t>pO0tC3pB7</t>
  </si>
  <si>
    <t>dV5iP8uS2</t>
  </si>
  <si>
    <t>hC6eT0hP4</t>
  </si>
  <si>
    <t>rC6kH3gB3</t>
  </si>
  <si>
    <t>rH5bQ2yC1</t>
  </si>
  <si>
    <t>bO0iX0bS5</t>
  </si>
  <si>
    <t>vC8fA0jO3</t>
  </si>
  <si>
    <t>oB3uD2dC4</t>
  </si>
  <si>
    <t>oO3yG7nU5</t>
  </si>
  <si>
    <t>hR0uK1oE3</t>
  </si>
  <si>
    <t>lO2wD4gY6</t>
  </si>
  <si>
    <t>uH1wR8mV2</t>
  </si>
  <si>
    <t>tJ8vN4vJ5</t>
  </si>
  <si>
    <t>yK0mJ6yI3</t>
  </si>
  <si>
    <t>eB6fP5yW2</t>
  </si>
  <si>
    <t>xT2jU8jB5</t>
  </si>
  <si>
    <t>rJ4sI8rT1</t>
  </si>
  <si>
    <t>bG5uV2nJ6</t>
  </si>
  <si>
    <t>gG5qK2yQ1</t>
  </si>
  <si>
    <t>xI3hP0iB7</t>
  </si>
  <si>
    <t>qQ8kE2iY7</t>
  </si>
  <si>
    <t>eG4cD0tH3</t>
  </si>
  <si>
    <t>sD1xV6xH0</t>
  </si>
  <si>
    <t>xP7oC2oK8</t>
  </si>
  <si>
    <t>cN0lX5pF2</t>
  </si>
  <si>
    <t>hI3lP4eC2</t>
  </si>
  <si>
    <t>lT5jM8eC3</t>
  </si>
  <si>
    <t>sN7iI8tV8</t>
  </si>
  <si>
    <t>jX3qN6eG1</t>
  </si>
  <si>
    <t>fV6iQ5uP7</t>
  </si>
  <si>
    <t>gG7aL4qP0</t>
  </si>
  <si>
    <t>vG6yR7mL8</t>
  </si>
  <si>
    <t>vT0iH3jQ8</t>
  </si>
  <si>
    <t>gH0bF8nX3</t>
  </si>
  <si>
    <t>jY2wF1dS7</t>
  </si>
  <si>
    <t>lD1qH7eG2</t>
  </si>
  <si>
    <t>cS6jW3bW8</t>
  </si>
  <si>
    <t>rD4hS0cA7</t>
  </si>
  <si>
    <t>fM1fQ3bA8</t>
  </si>
  <si>
    <t>kP0gD2iH1</t>
  </si>
  <si>
    <t>pT0nA0aT0</t>
  </si>
  <si>
    <t>uF5tT3yX0</t>
  </si>
  <si>
    <t>kT6eX7wY6</t>
  </si>
  <si>
    <t>uC3gJ1rP5</t>
  </si>
  <si>
    <t>kP6fR2mX0</t>
  </si>
  <si>
    <t>xN0nD3uR3</t>
  </si>
  <si>
    <t>wC4bL5cA0</t>
  </si>
  <si>
    <t>lE5tC6fK2</t>
  </si>
  <si>
    <t>qY0gF0bR7</t>
  </si>
  <si>
    <t>pW2gC7wM5</t>
  </si>
  <si>
    <t>mN3aF0eQ8</t>
  </si>
  <si>
    <t>oB3cI0yM1</t>
  </si>
  <si>
    <t>bC8fN3dL0</t>
  </si>
  <si>
    <t>vH0nC8kC8</t>
  </si>
  <si>
    <t>cO6mW1qL4</t>
  </si>
  <si>
    <t>mK4xL1tQ2</t>
  </si>
  <si>
    <t>vJ3cJ0uX8</t>
  </si>
  <si>
    <t>nG6rX7cH4</t>
  </si>
  <si>
    <t>iC3iE6mW6</t>
  </si>
  <si>
    <t>uW8dL4iN6</t>
  </si>
  <si>
    <t>pB5rO4eJ1</t>
  </si>
  <si>
    <t>wJ1cM5qU3</t>
  </si>
  <si>
    <t>vC2vH5gQ0</t>
  </si>
  <si>
    <t>hY4mN0oY5</t>
  </si>
  <si>
    <t>wN4wQ6iQ2</t>
  </si>
  <si>
    <t>bQ6iA1uK8</t>
  </si>
  <si>
    <t>oM7gR4pL5</t>
  </si>
  <si>
    <t>kC8kF7nS5</t>
  </si>
  <si>
    <t>gU3rM3qO4</t>
  </si>
  <si>
    <t>vF1iS6qB2</t>
  </si>
  <si>
    <t>vF2dC1sO7</t>
  </si>
  <si>
    <t>oE5xS1dB4</t>
  </si>
  <si>
    <t>sD3qI3fS6</t>
  </si>
  <si>
    <t>vT7oP8lU3</t>
  </si>
  <si>
    <t>pC8cJ2fI7</t>
  </si>
  <si>
    <t>tX5oP6eN6</t>
  </si>
  <si>
    <t>rN2oH8aI8</t>
  </si>
  <si>
    <t>dF4jH7dT2</t>
  </si>
  <si>
    <t>eC2aO7oP1</t>
  </si>
  <si>
    <t>vF5eV4eS0</t>
  </si>
  <si>
    <t>cE8mD8nL8</t>
  </si>
  <si>
    <t>fP8cJ2jA3</t>
  </si>
  <si>
    <t>mG5gU2hG5</t>
  </si>
  <si>
    <t>rM1bC3sT1</t>
  </si>
  <si>
    <t>dU7gR8iB0</t>
  </si>
  <si>
    <t>fS6uO5fG3</t>
  </si>
  <si>
    <t>lM5sA2dQ1</t>
  </si>
  <si>
    <t>bF6yA7pJ3</t>
  </si>
  <si>
    <t>yA3uS3iX0</t>
  </si>
  <si>
    <t>lL0tG4hV7</t>
  </si>
  <si>
    <t>vS5kR3cK8</t>
  </si>
  <si>
    <t>xC2iM7xS8</t>
  </si>
  <si>
    <t>lF0qN6kR2</t>
  </si>
  <si>
    <t>xG5lW6bJ4</t>
  </si>
  <si>
    <t>tR0eT2fV2</t>
  </si>
  <si>
    <t>gV0dH7pA3</t>
  </si>
  <si>
    <t>vF1bB4rJ8</t>
  </si>
  <si>
    <t>sA2lA3vJ3</t>
  </si>
  <si>
    <t>kC0rF3yS3</t>
  </si>
  <si>
    <t>aI1wV1cT8</t>
  </si>
  <si>
    <t>rL3wU4xY7</t>
  </si>
  <si>
    <t>cJ8nR4kN3</t>
  </si>
  <si>
    <t>vP6aU2bX4</t>
  </si>
  <si>
    <t>wB2hC1cH1</t>
  </si>
  <si>
    <t>lG1nS4nP1</t>
  </si>
  <si>
    <t>bJ2dX6vG5</t>
  </si>
  <si>
    <t>sA5fI3wD8</t>
  </si>
  <si>
    <t>nE3mD7xK4</t>
  </si>
  <si>
    <t>yF3vH4kO3</t>
  </si>
  <si>
    <t>fF7sO0cV7</t>
  </si>
  <si>
    <t>pW3yI2hQ6</t>
  </si>
  <si>
    <t>wH3nK1eY3</t>
  </si>
  <si>
    <t>kW7sO5hR1</t>
  </si>
  <si>
    <t>kE1mN3yI5</t>
  </si>
  <si>
    <t>cT7gL6cY1</t>
  </si>
  <si>
    <t>gN4cP2gB8</t>
  </si>
  <si>
    <t>dS8jJ7jT3</t>
  </si>
  <si>
    <t>wC2yH5bO5</t>
  </si>
  <si>
    <t>bO6cB4tD8</t>
  </si>
  <si>
    <t>hF1cS1gI7</t>
  </si>
  <si>
    <t>eH4xY3qO2</t>
  </si>
  <si>
    <t>xN5eW2tU1</t>
  </si>
  <si>
    <t>pV6pE0xY5</t>
  </si>
  <si>
    <t>hD4xX4kP3</t>
  </si>
  <si>
    <t>pP8rR1sU5</t>
  </si>
  <si>
    <t>uG2sJ8jX0</t>
  </si>
  <si>
    <t>nU6rT5jP0</t>
  </si>
  <si>
    <t>pA6oH1pT0</t>
  </si>
  <si>
    <t>sR3oT4iV5</t>
  </si>
  <si>
    <t>wF4jS4uK1</t>
  </si>
  <si>
    <t>tK6hH4rL0</t>
  </si>
  <si>
    <t>kM1qQ5kE5</t>
  </si>
  <si>
    <t>jS8mO7iF5</t>
  </si>
  <si>
    <t>xM6iQ2bM5</t>
  </si>
  <si>
    <t>wK8nP1iB7</t>
  </si>
  <si>
    <t>mW7rY6dF7</t>
  </si>
  <si>
    <t>hH8tJ8tD3</t>
  </si>
  <si>
    <t>iE2fE5oS5</t>
  </si>
  <si>
    <t>oO8uC6rW1</t>
  </si>
  <si>
    <t>xO3fV2dD6</t>
  </si>
  <si>
    <t>bF7qG4tA6</t>
  </si>
  <si>
    <t>nC6yX6pL0</t>
  </si>
  <si>
    <t>fD3yC4eF1</t>
  </si>
  <si>
    <t>xJ3oC4mS4</t>
  </si>
  <si>
    <t>bV7vY8pJ1</t>
  </si>
  <si>
    <t>iV0cI6bS4</t>
  </si>
  <si>
    <t>cD4lY1iX1</t>
  </si>
  <si>
    <t>wC7kM4jQ4</t>
  </si>
  <si>
    <t>xI3jY5gS6</t>
  </si>
  <si>
    <t>mV3lE6lR0</t>
  </si>
  <si>
    <t>mV6oR0cV7</t>
  </si>
  <si>
    <t>xE0bF8vL6</t>
  </si>
  <si>
    <t>tK5lJ1oS6</t>
  </si>
  <si>
    <t>kL3rV8wD7</t>
  </si>
  <si>
    <t>hY5vC6qG7</t>
  </si>
  <si>
    <t>gF0mN1mT2</t>
  </si>
  <si>
    <t>uR1aG2tQ8</t>
  </si>
  <si>
    <t>iX4jW7cA5</t>
  </si>
  <si>
    <t>oE6mF0bI1</t>
  </si>
  <si>
    <t>lC7eC2kS2</t>
  </si>
  <si>
    <t>wX7qD7bL5</t>
  </si>
  <si>
    <t>uV1dS6sR0</t>
  </si>
  <si>
    <t>sQ4xX6hC6</t>
  </si>
  <si>
    <t>cB5yK2pA4</t>
  </si>
  <si>
    <t>xH8nF6pY2</t>
  </si>
  <si>
    <t>fR0oG8iN4</t>
  </si>
  <si>
    <t>gP3fN7iW8</t>
  </si>
  <si>
    <t>eR3nQ8iY6</t>
  </si>
  <si>
    <t>iY3yE7nO1</t>
  </si>
  <si>
    <t>rR5aV0eD5</t>
  </si>
  <si>
    <t>uR4wN4iW5</t>
  </si>
  <si>
    <t>uM5kI7vK3</t>
  </si>
  <si>
    <t>jU6hT5rT8</t>
  </si>
  <si>
    <t>dI5vB2nT4</t>
  </si>
  <si>
    <t>hQ3cI0nM7</t>
  </si>
  <si>
    <t>pX7pH1mH7</t>
  </si>
  <si>
    <t>fV0nM8bK6</t>
  </si>
  <si>
    <t>dG2rA0qW3</t>
  </si>
  <si>
    <t>mQ0vC5iC4</t>
  </si>
  <si>
    <t>iD0nB3kW0</t>
  </si>
  <si>
    <t>fS0qL6qO7</t>
  </si>
  <si>
    <t>xV6tF8iA8</t>
  </si>
  <si>
    <t>yP6vN0wS3</t>
  </si>
  <si>
    <t>uW7sE4nG5</t>
  </si>
  <si>
    <t>nH1mI3iL8</t>
  </si>
  <si>
    <t>hL5cG3jP0</t>
  </si>
  <si>
    <t>uQ8rU0jG7</t>
  </si>
  <si>
    <t>sX3uJ0aQ6</t>
  </si>
  <si>
    <t>dB8sD6tQ8</t>
  </si>
  <si>
    <t>tF6iU7fF1</t>
  </si>
  <si>
    <t>gG8jH4cR8</t>
  </si>
  <si>
    <t>vL2kG5gB1</t>
  </si>
  <si>
    <t>aS0mC5hQ4</t>
  </si>
  <si>
    <t>sV3hV4mC2</t>
  </si>
  <si>
    <t>fS1lH5aC3</t>
  </si>
  <si>
    <t>qS2hU5fM8</t>
  </si>
  <si>
    <t>pH0tC7tE1</t>
  </si>
  <si>
    <t>nA3aV8gD0</t>
  </si>
  <si>
    <t>oC7cR7mF2</t>
  </si>
  <si>
    <t>xT0hM2kP8</t>
  </si>
  <si>
    <t>lU4bX0vX5</t>
  </si>
  <si>
    <t>gH4rS1vW8</t>
  </si>
  <si>
    <t>hL6wL6kC3</t>
  </si>
  <si>
    <t>cG7sS0kC4</t>
  </si>
  <si>
    <t>jW1lV3rS5</t>
  </si>
  <si>
    <t>nP1pC1kM5</t>
  </si>
  <si>
    <t>bK8uF4bN1</t>
  </si>
  <si>
    <t>qA7iU1bJ4</t>
  </si>
  <si>
    <t>xU7yW3pR4</t>
  </si>
  <si>
    <t>bK3uP4vL2</t>
  </si>
  <si>
    <t>kE2sD8iY2</t>
  </si>
  <si>
    <t>fA6eA1jB4</t>
  </si>
  <si>
    <t>wP1gK3kL8</t>
  </si>
  <si>
    <t>gX4bJ5cE3</t>
  </si>
  <si>
    <t>mI6sQ0cY6</t>
  </si>
  <si>
    <t>eU2dF2iE4</t>
  </si>
  <si>
    <t>sV7sM4gD6</t>
  </si>
  <si>
    <t>mE8bV7jY4</t>
  </si>
  <si>
    <t>oA2vU8eP6</t>
  </si>
  <si>
    <t>nK6uK5hF1</t>
  </si>
  <si>
    <t>xF2fN2mS4</t>
  </si>
  <si>
    <t>yE0cO8hA3</t>
  </si>
  <si>
    <t>jJ4tJ0iH4</t>
  </si>
  <si>
    <t>iI1nT1tH0</t>
  </si>
  <si>
    <t>nH1vA3gR3</t>
  </si>
  <si>
    <t>bM2pV6vH7</t>
  </si>
  <si>
    <t>mG6wA4nR7</t>
  </si>
  <si>
    <t>uY5oN8pT6</t>
  </si>
  <si>
    <t>vY7mW5dW7</t>
  </si>
  <si>
    <t>nF3eX7lR0</t>
  </si>
  <si>
    <t>dX3mB6xV8</t>
  </si>
  <si>
    <t>cN3wD1pD7</t>
  </si>
  <si>
    <t>vW4uA2tL8</t>
  </si>
  <si>
    <t>bV5yE0bW7</t>
  </si>
  <si>
    <t>bH5oL1oD7</t>
  </si>
  <si>
    <t>jD0cQ0rL4</t>
  </si>
  <si>
    <t>jV2wW2oL8</t>
  </si>
  <si>
    <t>oL7pS3vU2</t>
  </si>
  <si>
    <t>eB6nX0wH5</t>
  </si>
  <si>
    <t>nC3tH3gP1</t>
  </si>
  <si>
    <t>kS8tY2wI3</t>
  </si>
  <si>
    <t>fJ4hT3gS1</t>
  </si>
  <si>
    <t>nI2yE3yN3</t>
  </si>
  <si>
    <t>dM8bJ2xB6</t>
  </si>
  <si>
    <t>fA3yM4sI7</t>
  </si>
  <si>
    <t>mT2rS6oG7</t>
  </si>
  <si>
    <t>oL3tS6aW2</t>
  </si>
  <si>
    <t>xK5oM0cX7</t>
  </si>
  <si>
    <t>eP0aC0uJ3</t>
  </si>
  <si>
    <t>rF0gX7qC3</t>
  </si>
  <si>
    <t>iC2cD6xQ4</t>
  </si>
  <si>
    <t>oN3yD5iM0</t>
  </si>
  <si>
    <t>sO4iC4mW2</t>
  </si>
  <si>
    <t>lO3kV1nO2</t>
  </si>
  <si>
    <t>nU6yE2aR2</t>
  </si>
  <si>
    <t>sI1uO2sA3</t>
  </si>
  <si>
    <t>cL3sF4gL6</t>
  </si>
  <si>
    <t>cF5eP7gS6</t>
  </si>
  <si>
    <t>mX2xE3iG3</t>
  </si>
  <si>
    <t>wA1jP2xW2</t>
  </si>
  <si>
    <t>bX0qQ6xB7</t>
  </si>
  <si>
    <t>aN0yV1pX1</t>
  </si>
  <si>
    <t>pA4mC6xR2</t>
  </si>
  <si>
    <t>lS7aU4fW2</t>
  </si>
  <si>
    <t>cK4iO2yJ0</t>
  </si>
  <si>
    <t>dJ8tT1jY7</t>
  </si>
  <si>
    <t>tN2wO7kK7</t>
  </si>
  <si>
    <t>gG4nQ5eV6</t>
  </si>
  <si>
    <t>yW8nB4uA6</t>
  </si>
  <si>
    <t>dF0xB2jW4</t>
  </si>
  <si>
    <t>fW0dD3vE2</t>
  </si>
  <si>
    <t>hN8nG3mQ1</t>
  </si>
  <si>
    <t>vS0wO2fO8</t>
  </si>
  <si>
    <t>jG5hH7yR3</t>
  </si>
  <si>
    <t>oB1rN2xF6</t>
  </si>
  <si>
    <t>iG3sW5tX2</t>
  </si>
  <si>
    <t>bL5cH1oU2</t>
  </si>
  <si>
    <t>kR4fQ8vV0</t>
  </si>
  <si>
    <t>xR6hE0uD1</t>
  </si>
  <si>
    <t>xI6tK4xQ6</t>
  </si>
  <si>
    <t>jF7nB6kG4</t>
  </si>
  <si>
    <t>fH4dF8hD8</t>
  </si>
  <si>
    <t>aT7wB3eK7</t>
  </si>
  <si>
    <t>gF6hC4eW2</t>
  </si>
  <si>
    <t>qM7sY3cK0</t>
  </si>
  <si>
    <t>pL3nT7uF4</t>
  </si>
  <si>
    <t>rJ5sI7uJ7</t>
  </si>
  <si>
    <t>fQ7uX7dY6</t>
  </si>
  <si>
    <t>iX1sA1hG8</t>
  </si>
  <si>
    <t>nI8oL0oY7</t>
  </si>
  <si>
    <t>uF0xJ5hB2</t>
  </si>
  <si>
    <t>jH1iV5qH3</t>
  </si>
  <si>
    <t>wB0jN0gK7</t>
  </si>
  <si>
    <t>pN3fE4sF2</t>
  </si>
  <si>
    <t>cL7rR0tQ0</t>
  </si>
  <si>
    <t>vM8fS5wH8</t>
  </si>
  <si>
    <t>aU7qC4pQ5</t>
  </si>
  <si>
    <t>eN2wY2fR5</t>
  </si>
  <si>
    <t>nU3eO7kG3</t>
  </si>
  <si>
    <t>vC5iH8tO1</t>
  </si>
  <si>
    <t>mX0wY4jE4</t>
  </si>
  <si>
    <t>fK1lC6gW1</t>
  </si>
  <si>
    <t>cB3xX8yP8</t>
  </si>
  <si>
    <t>fI4yW6rO2</t>
  </si>
  <si>
    <t>qP7nE2xB5</t>
  </si>
  <si>
    <t>gM7oH3cM6</t>
  </si>
  <si>
    <t>tU3nT0sQ6</t>
  </si>
  <si>
    <t>nT0iO5gU7</t>
  </si>
  <si>
    <t>mG5vY5xL5</t>
  </si>
  <si>
    <t>eB6nT1gC7</t>
  </si>
  <si>
    <t>iP3dY4jP7</t>
  </si>
  <si>
    <t>xF0tN5mI3</t>
  </si>
  <si>
    <t>vR1wO3wV5</t>
  </si>
  <si>
    <t>nD3fX3pC2</t>
  </si>
  <si>
    <t>uX2bP0iB0</t>
  </si>
  <si>
    <t>dS4uR7gS0</t>
  </si>
  <si>
    <t>jC3pB4wR4</t>
  </si>
  <si>
    <t>pJ7rV8nG0</t>
  </si>
  <si>
    <t>hV7aJ0yE5</t>
  </si>
  <si>
    <t>uF2gS6mR5</t>
  </si>
  <si>
    <t>tR3tX7kV8</t>
  </si>
  <si>
    <t>aH3jU8xQ7</t>
  </si>
  <si>
    <t>fH6jC5iE8</t>
  </si>
  <si>
    <t>kV3cV6kJ7</t>
  </si>
  <si>
    <t>qB5uH5sA5</t>
  </si>
  <si>
    <t>dA7mS7yD4</t>
  </si>
  <si>
    <t>lJ4rU6yV4</t>
  </si>
  <si>
    <t>kH3gV8jD6</t>
  </si>
  <si>
    <t>aL3nE4nM8</t>
  </si>
  <si>
    <t>jT1yK3vX6</t>
  </si>
  <si>
    <t>vH4bD5oX6</t>
  </si>
  <si>
    <t>kM8aU0jG6</t>
  </si>
  <si>
    <t>cP4qP0gR2</t>
  </si>
  <si>
    <t>dK7hP7hR4</t>
  </si>
  <si>
    <t>lE4kX1lE1</t>
  </si>
  <si>
    <t>mG0qO6bG8</t>
  </si>
  <si>
    <t>vN4nR4qQ5</t>
  </si>
  <si>
    <t>kY2jN8tF7</t>
  </si>
  <si>
    <t>nC3wW7wC4</t>
  </si>
  <si>
    <t>iR2nC4sX3</t>
  </si>
  <si>
    <t>tF3jC3xM7</t>
  </si>
  <si>
    <t>rI0nE6uK7</t>
  </si>
  <si>
    <t>gU8oX0gN1</t>
  </si>
  <si>
    <t>bV8xC6tW6</t>
  </si>
  <si>
    <t>dT7vW4sR6</t>
  </si>
  <si>
    <t>aD2oH4hE1</t>
  </si>
  <si>
    <t>lY4nO0wA0</t>
  </si>
  <si>
    <t>tY0hE3fT0</t>
  </si>
  <si>
    <t>gT2bP2rW3</t>
  </si>
  <si>
    <t>iH1bP7sR1</t>
  </si>
  <si>
    <t>rH2qI5hD1</t>
  </si>
  <si>
    <t>oS8dJ5iO3</t>
  </si>
  <si>
    <t>rQ5sH0vW4</t>
  </si>
  <si>
    <t>pX6bA3bN6</t>
  </si>
  <si>
    <t>kN4fY5iV4</t>
  </si>
  <si>
    <t>jS6kX6lS1</t>
  </si>
  <si>
    <t>qC1oE3qC1</t>
  </si>
  <si>
    <t>aV5cN3qH2</t>
  </si>
  <si>
    <t>dA3sL6wK3</t>
  </si>
  <si>
    <t>pK5eI0qK8</t>
  </si>
  <si>
    <t>nC2yO2hB4</t>
  </si>
  <si>
    <t>jV5oR1iO5</t>
  </si>
  <si>
    <t>xG0fU1lL2</t>
  </si>
  <si>
    <t>pD4oF6jK3</t>
  </si>
  <si>
    <t>aA8lY4nI6</t>
  </si>
  <si>
    <t>qJ8vB3oK0</t>
  </si>
  <si>
    <t>uE6nH3uL7</t>
  </si>
  <si>
    <t>wD5fY7bQ7</t>
  </si>
  <si>
    <t>uY3rF2vU1</t>
  </si>
  <si>
    <t>lR5aS3eY6</t>
  </si>
  <si>
    <t>pS1jQ0qL0</t>
  </si>
  <si>
    <t>iR1sY5hC3</t>
  </si>
  <si>
    <t>iT4xV8wL2</t>
  </si>
  <si>
    <t>xN2xP5kX2</t>
  </si>
  <si>
    <t>nU8cA5hQ4</t>
  </si>
  <si>
    <t>mL1oO7xE6</t>
  </si>
  <si>
    <t>vO0cX3eK3</t>
  </si>
  <si>
    <t>qX6uU6lY6</t>
  </si>
  <si>
    <t>rM1aB5eQ5</t>
  </si>
  <si>
    <t>pG8rV0dP3</t>
  </si>
  <si>
    <t>eB3sG1mI2</t>
  </si>
  <si>
    <t>gX8tX8aB7</t>
  </si>
  <si>
    <t>sY7yV6vG2</t>
  </si>
  <si>
    <t>vR8qT8yG2</t>
  </si>
  <si>
    <t>hX7dT6oV0</t>
  </si>
  <si>
    <t>nA2tB1bY3</t>
  </si>
  <si>
    <t>jY3uU5gL6</t>
  </si>
  <si>
    <t>jX3fK0gU5</t>
  </si>
  <si>
    <t>qK6lH7tE5</t>
  </si>
  <si>
    <t>tA2pL8fA1</t>
  </si>
  <si>
    <t>qK5uM4gP8</t>
  </si>
  <si>
    <t>fQ8rT0gI2</t>
  </si>
  <si>
    <t>bN7tD3jV7</t>
  </si>
  <si>
    <t>pV1oF8wD8</t>
  </si>
  <si>
    <t>tR5iP7wI8</t>
  </si>
  <si>
    <t>cC4xU0qI7</t>
  </si>
  <si>
    <t>wI3hY0uT7</t>
  </si>
  <si>
    <t>oM3xY6mV7</t>
  </si>
  <si>
    <t>hK0cQ4fM3</t>
  </si>
  <si>
    <t>mR8qS2hP5</t>
  </si>
  <si>
    <t>rN3xJ4wC7</t>
  </si>
  <si>
    <t>hL2gB0iU8</t>
  </si>
  <si>
    <t>sQ5lO6uX6</t>
  </si>
  <si>
    <t>kT2kB6oA3</t>
  </si>
  <si>
    <t>qR8oW0uM1</t>
  </si>
  <si>
    <t>yA7nA2oH0</t>
  </si>
  <si>
    <t>jM6qD8lB5</t>
  </si>
  <si>
    <t>jV2yH5jK1</t>
  </si>
  <si>
    <t>iS8hU8eU0</t>
  </si>
  <si>
    <t>yF2tK1dK8</t>
  </si>
  <si>
    <t>pK3vM0wM4</t>
  </si>
  <si>
    <t>pW6qF6qP0</t>
  </si>
  <si>
    <t>xW0sT1fN4</t>
  </si>
  <si>
    <t>yI8kP4aH1</t>
  </si>
  <si>
    <t>wX2fE8eD5</t>
  </si>
  <si>
    <t>dH4fH4xT1</t>
  </si>
  <si>
    <t>fW1mR5fW6</t>
  </si>
  <si>
    <t>nH5lW5kP2</t>
  </si>
  <si>
    <t>bK7cB3rD4</t>
  </si>
  <si>
    <t>mY8kF5dL2</t>
  </si>
  <si>
    <t>oP7yE0yG2</t>
  </si>
  <si>
    <t>tX4sV5kK5</t>
  </si>
  <si>
    <t>wU2tH2qQ5</t>
  </si>
  <si>
    <t>yK6aD1aN1</t>
  </si>
  <si>
    <t>oP2gI0aV6</t>
  </si>
  <si>
    <t>fY8uB3pS2</t>
  </si>
  <si>
    <t>pO5yU8uB7</t>
  </si>
  <si>
    <t>xL1uI6eS3</t>
  </si>
  <si>
    <t>cY3sB2dQ0</t>
  </si>
  <si>
    <t>nU8oN2vG2</t>
  </si>
  <si>
    <t>lD0hR7jU7</t>
  </si>
  <si>
    <t>wM4qG5dP5</t>
  </si>
  <si>
    <t>cG0yQ1lA8</t>
  </si>
  <si>
    <t>sR2rF1xI0</t>
  </si>
  <si>
    <t>sD4qC7tU5</t>
  </si>
  <si>
    <t>iS2dF1jG3</t>
  </si>
  <si>
    <t>bD4wJ7dC0</t>
  </si>
  <si>
    <t>bN4wL6tG4</t>
  </si>
  <si>
    <t>nN6cU2jO7</t>
  </si>
  <si>
    <t>pX0wI5qP4</t>
  </si>
  <si>
    <t>uW2iA4fB3</t>
  </si>
  <si>
    <t>aS5lY6uS2</t>
  </si>
  <si>
    <t>aE1bJ8mB6</t>
  </si>
  <si>
    <t>qU1iS0fE5</t>
  </si>
  <si>
    <t>jX8eT5uQ6</t>
  </si>
  <si>
    <t>sM6aS3qC3</t>
  </si>
  <si>
    <t>tG2bD3qJ3</t>
  </si>
  <si>
    <t>gH6dT8cS4</t>
  </si>
  <si>
    <t>lI3xM5yF5</t>
  </si>
  <si>
    <t>rY3vB4vI3</t>
  </si>
  <si>
    <t>yK2aF4jW2</t>
  </si>
  <si>
    <t>eK2pO5aQ7</t>
  </si>
  <si>
    <t>oH5mB4dK7</t>
  </si>
  <si>
    <t>lB2wU8nO5</t>
  </si>
  <si>
    <t>qT2rS3vC6</t>
  </si>
  <si>
    <t>xA2cG3fI7</t>
  </si>
  <si>
    <t>uS1fN3aC6</t>
  </si>
  <si>
    <t>gO4yS8lY2</t>
  </si>
  <si>
    <t>hL3cM2tV7</t>
  </si>
  <si>
    <t>qP1kN7mS3</t>
  </si>
  <si>
    <t>kW4hP5qA0</t>
  </si>
  <si>
    <t>kS6oF0fW2</t>
  </si>
  <si>
    <t>oD8bV8hT2</t>
  </si>
  <si>
    <t>nX4uI4xU4</t>
  </si>
  <si>
    <t>eY5hW0oX2</t>
  </si>
  <si>
    <t>eY3eY8oC0</t>
  </si>
  <si>
    <t>bA1vK1kL2</t>
  </si>
  <si>
    <t>dQ8lD4iV7</t>
  </si>
  <si>
    <t>tP0yF6eK3</t>
  </si>
  <si>
    <t>dE0eW6wS2</t>
  </si>
  <si>
    <t>oG8nE0iF1</t>
  </si>
  <si>
    <t>wU1dI7cH5</t>
  </si>
  <si>
    <t>uO3yB6oS5</t>
  </si>
  <si>
    <t>iO2dS0oB2</t>
  </si>
  <si>
    <t>pW2mD1qA5</t>
  </si>
  <si>
    <t>jG6sX5nE4</t>
  </si>
  <si>
    <t>pD0oS6gR5</t>
  </si>
  <si>
    <t>pC7sD0jG0</t>
  </si>
  <si>
    <t>hI2rC4wM6</t>
  </si>
  <si>
    <t>bB1eO2pL2</t>
  </si>
  <si>
    <t>fJ2qH7tE7</t>
  </si>
  <si>
    <t>hE3eM5nV4</t>
  </si>
  <si>
    <t>oX2dM1hV4</t>
  </si>
  <si>
    <t>vQ0yI5dJ1</t>
  </si>
  <si>
    <t>lU2sS7iH2</t>
  </si>
  <si>
    <t>lU8fV5lE7</t>
  </si>
  <si>
    <t>lL6bF0rW0</t>
  </si>
  <si>
    <t>sB2xK3cG8</t>
  </si>
  <si>
    <t>wX7cD0jU1</t>
  </si>
  <si>
    <t>dX6gG5wD6</t>
  </si>
  <si>
    <t>sS8uN3bV2</t>
  </si>
  <si>
    <t>wP4eX7xR7</t>
  </si>
  <si>
    <t>lK2cJ2mY1</t>
  </si>
  <si>
    <t>cV0lT2gK3</t>
  </si>
  <si>
    <t>qT6vJ1wB0</t>
  </si>
  <si>
    <t>sW5dY7xK4</t>
  </si>
  <si>
    <t>kP6bW2eW8</t>
  </si>
  <si>
    <t>lR8jO0iJ7</t>
  </si>
  <si>
    <t>uY2mG5dN3</t>
  </si>
  <si>
    <t>eN5gV3kX1</t>
  </si>
  <si>
    <t>qJ3oH5bT5</t>
  </si>
  <si>
    <t>jX2cI8fC4</t>
  </si>
  <si>
    <t>fD2kP3vM7</t>
  </si>
  <si>
    <t>oP6vB4sI5</t>
  </si>
  <si>
    <t>cK3bE4qF2</t>
  </si>
  <si>
    <t>oP5tD5hV7</t>
  </si>
  <si>
    <t>iM8cR0jD7</t>
  </si>
  <si>
    <t>xQ0sL1vM5</t>
  </si>
  <si>
    <t>kK3nA0xH4</t>
  </si>
  <si>
    <t>uF6cV6cF5</t>
  </si>
  <si>
    <t>bT2jS0uB8</t>
  </si>
  <si>
    <t>rL0gR0vQ2</t>
  </si>
  <si>
    <t>qI5bM0uC8</t>
  </si>
  <si>
    <t>lB3wM8lL2</t>
  </si>
  <si>
    <t>jD3pC7mP0</t>
  </si>
  <si>
    <t>mV1gW5dV7</t>
  </si>
  <si>
    <t>oS2xG1yO8</t>
  </si>
  <si>
    <t>mS2yC4aO3</t>
  </si>
  <si>
    <t>iP5sE1fU6</t>
  </si>
  <si>
    <t>yA8sM4nO3</t>
  </si>
  <si>
    <t>xK0rL3yG0</t>
  </si>
  <si>
    <t>kV0eL0iY7</t>
  </si>
  <si>
    <t>lN5nY2wH4</t>
  </si>
  <si>
    <t>gA6vW4nU1</t>
  </si>
  <si>
    <t>vY3vM4nL7</t>
  </si>
  <si>
    <t>xG2aG3dB4</t>
  </si>
  <si>
    <t>yA8jQ0jM3</t>
  </si>
  <si>
    <t>wY1lA6kF2</t>
  </si>
  <si>
    <t>fN4eN1sH7</t>
  </si>
  <si>
    <t>jW6rX5iB4</t>
  </si>
  <si>
    <t>bK7rR0tJ3</t>
  </si>
  <si>
    <t>uJ5sF3bF4</t>
  </si>
  <si>
    <t>cT2iO5dQ1</t>
  </si>
  <si>
    <t>jU8qH3gM6</t>
  </si>
  <si>
    <t>yW5bT1qU3</t>
  </si>
  <si>
    <t>lY7uF7xQ6</t>
  </si>
  <si>
    <t>aP7mA7xW3</t>
  </si>
  <si>
    <t>tI5qG0dO1</t>
  </si>
  <si>
    <t>qH0rV0wD3</t>
  </si>
  <si>
    <t>kB8vT3bV4</t>
  </si>
  <si>
    <t>gA2pJ3yX6</t>
  </si>
  <si>
    <t>fE6gC1qQ6</t>
  </si>
  <si>
    <t>jL4wG3oW0</t>
  </si>
  <si>
    <t>oM7iF2wW0</t>
  </si>
  <si>
    <t>aR5hD4uA5</t>
  </si>
  <si>
    <t>aV0oY7hJ7</t>
  </si>
  <si>
    <t>bB8dW3vK0</t>
  </si>
  <si>
    <t>hF8fA0hY8</t>
  </si>
  <si>
    <t>vI8oB1eU8</t>
  </si>
  <si>
    <t>bM8aH4oI3</t>
  </si>
  <si>
    <t>nQ7fF4dH7</t>
  </si>
  <si>
    <t>bB7lT0hG2</t>
  </si>
  <si>
    <t>wM4oE6dE0</t>
  </si>
  <si>
    <t>wK3nS1dL7</t>
  </si>
  <si>
    <t>mU4lA0kT6</t>
  </si>
  <si>
    <t>cU1tN1vV0</t>
  </si>
  <si>
    <t>pB7wJ0mJ1</t>
  </si>
  <si>
    <t>lW0tQ6nY7</t>
  </si>
  <si>
    <t>sH7yR0fF0</t>
  </si>
  <si>
    <t>xG8nQ2aA7</t>
  </si>
  <si>
    <t>bY2sD3hH0</t>
  </si>
  <si>
    <t>nQ8lE8tX8</t>
  </si>
  <si>
    <t>mG4kE7hG3</t>
  </si>
  <si>
    <t>cI3vO6uN3</t>
  </si>
  <si>
    <t>tV7vL8iQ3</t>
  </si>
  <si>
    <t>wS1tW8lR6</t>
  </si>
  <si>
    <t>vU6mF3iH0</t>
  </si>
  <si>
    <t>lB1jV7bG7</t>
  </si>
  <si>
    <t>fS6tP8aL1</t>
  </si>
  <si>
    <t>dN1tJ2lD4</t>
  </si>
  <si>
    <t>hV2qA7iH0</t>
  </si>
  <si>
    <t>cA0qF5jV4</t>
  </si>
  <si>
    <t>mJ8kG0fL1</t>
  </si>
  <si>
    <t>nP5nF3eH0</t>
  </si>
  <si>
    <t>hM1wY6eG1</t>
  </si>
  <si>
    <t>aN0uQ0tA7</t>
  </si>
  <si>
    <t>sT4xX6tQ2</t>
  </si>
  <si>
    <t>gE7mX1hN3</t>
  </si>
  <si>
    <t>eO1hN0pX8</t>
  </si>
  <si>
    <t>yA3rB0kF2</t>
  </si>
  <si>
    <t>vL1jN0bY2</t>
  </si>
  <si>
    <t>vJ8nW4eY4</t>
  </si>
  <si>
    <t>yX2gX2wA4</t>
  </si>
  <si>
    <t>vQ4kP4wS2</t>
  </si>
  <si>
    <t>oV3aW3jI6</t>
  </si>
  <si>
    <t>nU5cD0nC6</t>
  </si>
  <si>
    <t>mF6gJ8eM0</t>
  </si>
  <si>
    <t>hI5tP6aK1</t>
  </si>
  <si>
    <t>vC6mU5fC8</t>
  </si>
  <si>
    <t>sV5cH4tT3</t>
  </si>
  <si>
    <t>aR2jQ6cW0</t>
  </si>
  <si>
    <t>pQ8wT0oA7</t>
  </si>
  <si>
    <t>qC3kW7cI7</t>
  </si>
  <si>
    <t>sJ3kI6uQ2</t>
  </si>
  <si>
    <t>pJ6tI6aS8</t>
  </si>
  <si>
    <t>sY8sQ6aO4</t>
  </si>
  <si>
    <t>eT8lA6pY3</t>
  </si>
  <si>
    <t>aW0dF8sS1</t>
  </si>
  <si>
    <t>kP2sO1aX3</t>
  </si>
  <si>
    <t>kL6wE1kD4</t>
  </si>
  <si>
    <t>fM4bW5vS7</t>
  </si>
  <si>
    <t>wC4iB8wS8</t>
  </si>
  <si>
    <t>qY4bG8wO6</t>
  </si>
  <si>
    <t>eB1eX8gX1</t>
  </si>
  <si>
    <t>gL1bO1pR5</t>
  </si>
  <si>
    <t>uR5sV0iI8</t>
  </si>
  <si>
    <t>gK3uP4mX7</t>
  </si>
  <si>
    <t>xK1wB6vG4</t>
  </si>
  <si>
    <t>uH6iM5wX6</t>
  </si>
  <si>
    <t>aG5vQ6hK8</t>
  </si>
  <si>
    <t>jR2jY4eD4</t>
  </si>
  <si>
    <t>bH2tV8gL6</t>
  </si>
  <si>
    <t>aN3cN6pB1</t>
  </si>
  <si>
    <t>iB7jJ4nJ6</t>
  </si>
  <si>
    <t>jD7mO1tT0</t>
  </si>
  <si>
    <t>nH7vO8iY1</t>
  </si>
  <si>
    <t>pK3eL7xT6</t>
  </si>
  <si>
    <t>gL7eL6iH3</t>
  </si>
  <si>
    <t>cR1jC7hN2</t>
  </si>
  <si>
    <t>wO4aC6lN8</t>
  </si>
  <si>
    <t>cG6vK2eR2</t>
  </si>
  <si>
    <t>eH8dF7tK2</t>
  </si>
  <si>
    <t>wV7fM0hC4</t>
  </si>
  <si>
    <t>yC1wQ0fQ7</t>
  </si>
  <si>
    <t>fK8tA6xB1</t>
  </si>
  <si>
    <t>fN8hP1oQ2</t>
  </si>
  <si>
    <t>cF1mS4xN7</t>
  </si>
  <si>
    <t>bM6iK4vM5</t>
  </si>
  <si>
    <t>jC0wA3yQ0</t>
  </si>
  <si>
    <t>kX6oH2nS1</t>
  </si>
  <si>
    <t>gD0eD6uI4</t>
  </si>
  <si>
    <t>xF6cA3gW2</t>
  </si>
  <si>
    <t>aM5rH4tE2</t>
  </si>
  <si>
    <t>aY7nP2tW8</t>
  </si>
  <si>
    <t>yH4mG0cM3</t>
  </si>
  <si>
    <t>wG6wJ5hF4</t>
  </si>
  <si>
    <t>rG0pX6jY8</t>
  </si>
  <si>
    <t>iB8yY5kC3</t>
  </si>
  <si>
    <t>kC3fU8yU0</t>
  </si>
  <si>
    <t>aI6uH2yK3</t>
  </si>
  <si>
    <t>iB5wP0jY6</t>
  </si>
  <si>
    <t>uN2dL7mP6</t>
  </si>
  <si>
    <t>aE2sM6yP6</t>
  </si>
  <si>
    <t>wN5uH2uT4</t>
  </si>
  <si>
    <t>xJ3nM2pD1</t>
  </si>
  <si>
    <t>yE8gR8cV5</t>
  </si>
  <si>
    <t>pI0cR7nF6</t>
  </si>
  <si>
    <t>lX5gK4eQ3</t>
  </si>
  <si>
    <t>cP3nV7gN7</t>
  </si>
  <si>
    <t>qT3hD1wH4</t>
  </si>
  <si>
    <t>xP0iL6oS8</t>
  </si>
  <si>
    <t>lB3yC8bL2</t>
  </si>
  <si>
    <t>cW4nS4fO3</t>
  </si>
  <si>
    <t>mV4lC5dR8</t>
  </si>
  <si>
    <t>mY8mH0wL0</t>
  </si>
  <si>
    <t>yY3aJ6eU3</t>
  </si>
  <si>
    <t>uX2fT0qD7</t>
  </si>
  <si>
    <t>hO8oG6nA5</t>
  </si>
  <si>
    <t>jJ1uC2dR1</t>
  </si>
  <si>
    <t>nH3wR2lC0</t>
  </si>
  <si>
    <t>yP3bM1uH0</t>
  </si>
  <si>
    <t>qW7rB1aM7</t>
  </si>
  <si>
    <t>rO8hO7sW0</t>
  </si>
  <si>
    <t>oA2qK8jN4</t>
  </si>
  <si>
    <t>mA1rB1vT3</t>
  </si>
  <si>
    <t>cC7pI5iL2</t>
  </si>
  <si>
    <t>oY2vF0pN8</t>
  </si>
  <si>
    <t>cV0nU5xX7</t>
  </si>
  <si>
    <t>fD3fJ5qK2</t>
  </si>
  <si>
    <t>gM7nT8yV5</t>
  </si>
  <si>
    <t>eL6vB5vN7</t>
  </si>
  <si>
    <t>pE5gR0xS5</t>
  </si>
  <si>
    <t>rF5hN2eV3</t>
  </si>
  <si>
    <t>lP2yV1rM0</t>
  </si>
  <si>
    <t>tH8qL1bR0</t>
  </si>
  <si>
    <t>lE5fO6gK5</t>
  </si>
  <si>
    <t>cG2vQ4iH0</t>
  </si>
  <si>
    <t>xX4tY1sS5</t>
  </si>
  <si>
    <t>vV6aS4sO0</t>
  </si>
  <si>
    <t>tU3hF5jD5</t>
  </si>
  <si>
    <t>qM0dY5xF5</t>
  </si>
  <si>
    <t>vO3vK3gQ2</t>
  </si>
  <si>
    <t>uE6tP8lP2</t>
  </si>
  <si>
    <t>qJ2lR1gU6</t>
  </si>
  <si>
    <t>vM3kK3nM6</t>
  </si>
  <si>
    <t>iT7qK4gR7</t>
  </si>
  <si>
    <t>nS2jM8tL8</t>
  </si>
  <si>
    <t>aN5iB8rI5</t>
  </si>
  <si>
    <t>fK6kB2fL0</t>
  </si>
  <si>
    <t>jF3rI0oL7</t>
  </si>
  <si>
    <t>wJ0iP1nG3</t>
  </si>
  <si>
    <t>gH3eQ0aW5</t>
  </si>
  <si>
    <t>dO6wX4xD0</t>
  </si>
  <si>
    <t>xE2oC5lR8</t>
  </si>
  <si>
    <t>iW6eU3dA6</t>
  </si>
  <si>
    <t>eO0eO0fR6</t>
  </si>
  <si>
    <t>qA3oB1qY7</t>
  </si>
  <si>
    <t>gD4sI7fM7</t>
  </si>
  <si>
    <t>pF7dG2dU3</t>
  </si>
  <si>
    <t>qR0oH1gB7</t>
  </si>
  <si>
    <t>lG5xG3pR1</t>
  </si>
  <si>
    <t>vS5xV0wP2</t>
  </si>
  <si>
    <t>xA0jP4tE6</t>
  </si>
  <si>
    <t>pR8vO2aN6</t>
  </si>
  <si>
    <t>xQ8kL5xI5</t>
  </si>
  <si>
    <t>eH2aG5gT3</t>
  </si>
  <si>
    <t>fB2kP8uT2</t>
  </si>
  <si>
    <t>vT8rR6sA7</t>
  </si>
  <si>
    <t>bI5eJ2jP4</t>
  </si>
  <si>
    <t>rC4rT6cM8</t>
  </si>
  <si>
    <t>sK8xV8tF6</t>
  </si>
  <si>
    <t>pV6kV7fO8</t>
  </si>
  <si>
    <t>lS0fJ6xX4</t>
  </si>
  <si>
    <t>rI6aB7iY6</t>
  </si>
  <si>
    <t>cL3qY8nI8</t>
  </si>
  <si>
    <t>bD4hX0rV6</t>
  </si>
  <si>
    <t>jS7mL8jU8</t>
  </si>
  <si>
    <t>oQ4gS2gB1</t>
  </si>
  <si>
    <t>aC6eC0eI1</t>
  </si>
  <si>
    <t>yU6tD6aO5</t>
  </si>
  <si>
    <t>dH7rR6lL4</t>
  </si>
  <si>
    <t>vD4kL3aD8</t>
  </si>
  <si>
    <t>eB3kO2eX4</t>
  </si>
  <si>
    <t>kT6xV2wA0</t>
  </si>
  <si>
    <t>cD0gU5sF0</t>
  </si>
  <si>
    <t>kJ3eP5oW8</t>
  </si>
  <si>
    <t>jT4pF8kS5</t>
  </si>
  <si>
    <t>cR6uW2rN7</t>
  </si>
  <si>
    <t>tD7lU3eR1</t>
  </si>
  <si>
    <t>wV0mS7bP2</t>
  </si>
  <si>
    <t>wD4lD4yY6</t>
  </si>
  <si>
    <t>aA0hI6fC2</t>
  </si>
  <si>
    <t>mL3oH1xE6</t>
  </si>
  <si>
    <t>gJ5mJ8cV7</t>
  </si>
  <si>
    <t>oL8aC7aW5</t>
  </si>
  <si>
    <t>fU1bS4oF2</t>
  </si>
  <si>
    <t>jD2xY2gE5</t>
  </si>
  <si>
    <t>fM5iC0sY0</t>
  </si>
  <si>
    <t>pB3kN2sJ4</t>
  </si>
  <si>
    <t>yG8vN7rE4</t>
  </si>
  <si>
    <t>sX1yR5lE5</t>
  </si>
  <si>
    <t>yH2xT3iR7</t>
  </si>
  <si>
    <t>sT5yP4rX7</t>
  </si>
  <si>
    <t>tD5vI1aU6</t>
  </si>
  <si>
    <t>sS7rC5kJ6</t>
  </si>
  <si>
    <t>xW7dO0nU8</t>
  </si>
  <si>
    <t>hI2kL0hJ1</t>
  </si>
  <si>
    <t>wX2jT7kB7</t>
  </si>
  <si>
    <t>mH3rS1vC8</t>
  </si>
  <si>
    <t>oG5xE2vE0</t>
  </si>
  <si>
    <t>fW8sE3bU8</t>
  </si>
  <si>
    <t>dC2hU7fN4</t>
  </si>
  <si>
    <t>tW4dA6rW1</t>
  </si>
  <si>
    <t>fI4rD4hP0</t>
  </si>
  <si>
    <t>yM5wQ6aG8</t>
  </si>
  <si>
    <t>uX6aX5qV6</t>
  </si>
  <si>
    <t>aG6qX6hR0</t>
  </si>
  <si>
    <t>yX2xE2hX2</t>
  </si>
  <si>
    <t>gW3gO7oK3</t>
  </si>
  <si>
    <t>tL6dW0oD6</t>
  </si>
  <si>
    <t>oR8pV8kR7</t>
  </si>
  <si>
    <t>mX4mC3hX0</t>
  </si>
  <si>
    <t>bV3bB1dS7</t>
  </si>
  <si>
    <t>aJ4jS6aS7</t>
  </si>
  <si>
    <t>eM3nV5qY1</t>
  </si>
  <si>
    <t>bT2bD0vC3</t>
  </si>
  <si>
    <t>kB3dB2nX4</t>
  </si>
  <si>
    <t>xJ3uI4hK1</t>
  </si>
  <si>
    <t>pO1eV5cO6</t>
  </si>
  <si>
    <t>nK0nK5lN2</t>
  </si>
  <si>
    <t>fW4vX7jQ2</t>
  </si>
  <si>
    <t>cH2oQ2sV7</t>
  </si>
  <si>
    <t>wT1pR7eN1</t>
  </si>
  <si>
    <t>aD6wB4rJ4</t>
  </si>
  <si>
    <t>wV8hN2jC7</t>
  </si>
  <si>
    <t>bR4sS4vV1</t>
  </si>
  <si>
    <t>bC4tP6oJ6</t>
  </si>
  <si>
    <t>cG4cA0dQ2</t>
  </si>
  <si>
    <t>tB5qS2kN7</t>
  </si>
  <si>
    <t>mE7gK6tX4</t>
  </si>
  <si>
    <t>pO5xC7gX3</t>
  </si>
  <si>
    <t>lQ4nA5yO4</t>
  </si>
  <si>
    <t>bL5tO5mH6</t>
  </si>
  <si>
    <t>uX8bB8bQ2</t>
  </si>
  <si>
    <t>pW0gD1dN0</t>
  </si>
  <si>
    <t>fI5tH1wB0</t>
  </si>
  <si>
    <t>kI8rJ0xF2</t>
  </si>
  <si>
    <t>wB6mV6cX7</t>
  </si>
  <si>
    <t>iF6vC3pQ4</t>
  </si>
  <si>
    <t>yY4iD1yR5</t>
  </si>
  <si>
    <t>vV3tV2cV6</t>
  </si>
  <si>
    <t>gP8bM7fK4</t>
  </si>
  <si>
    <t>tM0lU4qO6</t>
  </si>
  <si>
    <t>mO8tW8hL1</t>
  </si>
  <si>
    <t>rE4xF2kV5</t>
  </si>
  <si>
    <t>aS7pG6dB3</t>
  </si>
  <si>
    <t>dL0rE1hQ0</t>
  </si>
  <si>
    <t>uK5aI6jO4</t>
  </si>
  <si>
    <t>tW8wF0gT0</t>
  </si>
  <si>
    <t>cD8cT6eI0</t>
  </si>
  <si>
    <t>oN4bM7kA1</t>
  </si>
  <si>
    <t>iK1bD8gX2</t>
  </si>
  <si>
    <t>yJ3hO6xH8</t>
  </si>
  <si>
    <t>uC3oU5rA4</t>
  </si>
  <si>
    <t>sA5pM7tQ5</t>
  </si>
  <si>
    <t>eV2qC0jP6</t>
  </si>
  <si>
    <t>kJ8qQ6cW2</t>
  </si>
  <si>
    <t>lQ7mV3cA0</t>
  </si>
  <si>
    <t>yU1bG0uB8</t>
  </si>
  <si>
    <t>iH6vS5dF0</t>
  </si>
  <si>
    <t>bQ0aX7lD3</t>
  </si>
  <si>
    <t>pK4tP7jE0</t>
  </si>
  <si>
    <t>aO0gP1wK8</t>
  </si>
  <si>
    <t>kP2hG8wE2</t>
  </si>
  <si>
    <t>nI0vA3kT6</t>
  </si>
  <si>
    <t>pO8lY4wT1</t>
  </si>
  <si>
    <t>bR7yW2rY8</t>
  </si>
  <si>
    <t>jK2oN5xA0</t>
  </si>
  <si>
    <t>aK7hI0nL3</t>
  </si>
  <si>
    <t>qS5uM6dY3</t>
  </si>
  <si>
    <t>sN4cH6rP6</t>
  </si>
  <si>
    <t>iW6mW7dX2</t>
  </si>
  <si>
    <t>bP8rF5tR6</t>
  </si>
  <si>
    <t>tH2rP5sE6</t>
  </si>
  <si>
    <t>rG2yL0jA1</t>
  </si>
  <si>
    <t>hH3fF7cK5</t>
  </si>
  <si>
    <t>qS2wC8kI5</t>
  </si>
  <si>
    <t>yX7oC7oC1</t>
  </si>
  <si>
    <t>hY2dL2iC3</t>
  </si>
  <si>
    <t>wL6oR5yU7</t>
  </si>
  <si>
    <t>aW3cU2kU8</t>
  </si>
  <si>
    <t>hB5jJ8eM2</t>
  </si>
  <si>
    <t>xV8pN2aU6</t>
  </si>
  <si>
    <t>bD4nR8qU7</t>
  </si>
  <si>
    <t>lX6vB7oC7</t>
  </si>
  <si>
    <t>xQ6gY3yO3</t>
  </si>
  <si>
    <t>iX8nK7tT5</t>
  </si>
  <si>
    <t>vL8qH6jB2</t>
  </si>
  <si>
    <t>iY4aM4qV3</t>
  </si>
  <si>
    <t>tP1cG2oK2</t>
  </si>
  <si>
    <t>tC8jP1nK5</t>
  </si>
  <si>
    <t>iY0vM8oQ1</t>
  </si>
  <si>
    <t>gF3rO1hN2</t>
  </si>
  <si>
    <t>nF1wE6nL0</t>
  </si>
  <si>
    <t>fO5pE6nM1</t>
  </si>
  <si>
    <t>wA3nA0pX4</t>
  </si>
  <si>
    <t>lI4dS6mU2</t>
  </si>
  <si>
    <t>dW7kT1iH6</t>
  </si>
  <si>
    <t>xN3aY8kA7</t>
  </si>
  <si>
    <t>sF3mX0cM2</t>
  </si>
  <si>
    <t>eQ0aU7gS3</t>
  </si>
  <si>
    <t>cY7eI5qX0</t>
  </si>
  <si>
    <t>uG1tP6jX4</t>
  </si>
  <si>
    <t>yB0sJ8oT8</t>
  </si>
  <si>
    <t>rT1pM7vD6</t>
  </si>
  <si>
    <t>iK0oG6nA7</t>
  </si>
  <si>
    <t>xQ0yR6vB5</t>
  </si>
  <si>
    <t>sB6yW2vQ3</t>
  </si>
  <si>
    <t>gD1bC5uF5</t>
  </si>
  <si>
    <t>pM1kE5dK4</t>
  </si>
  <si>
    <t>kB6oS0jD0</t>
  </si>
  <si>
    <t>vT0yQ3lW4</t>
  </si>
  <si>
    <t>bS0hI8aW8</t>
  </si>
  <si>
    <t>nP3aX3gL5</t>
  </si>
  <si>
    <t>nB5iM6wT6</t>
  </si>
  <si>
    <t>gA0cX2fW1</t>
  </si>
  <si>
    <t>hT1kX7jO4</t>
  </si>
  <si>
    <t>wN3dG1wC4</t>
  </si>
  <si>
    <t>fH1xK7sJ6</t>
  </si>
  <si>
    <t>yE5nM6bM3</t>
  </si>
  <si>
    <t>tW1uU8hY0</t>
  </si>
  <si>
    <t>qW4dS1jO5</t>
  </si>
  <si>
    <t>pO0aL6bM6</t>
  </si>
  <si>
    <t>dC6iU5bR8</t>
  </si>
  <si>
    <t>bH0eU8uY6</t>
  </si>
  <si>
    <t>yB4aA4lJ7</t>
  </si>
  <si>
    <t>sB2sY4gD6</t>
  </si>
  <si>
    <t>xS4eN2iW0</t>
  </si>
  <si>
    <t>iU3oR3eG7</t>
  </si>
  <si>
    <t>oO2fE5yC1</t>
  </si>
  <si>
    <t>rC3pM1rP8</t>
  </si>
  <si>
    <t>bO3xR5sU6</t>
  </si>
  <si>
    <t>dX8lO2dS6</t>
  </si>
  <si>
    <t>kP8rB1dL0</t>
  </si>
  <si>
    <t>vJ6kM0aQ3</t>
  </si>
  <si>
    <t>rM1yV8hT4</t>
  </si>
  <si>
    <t>rN2jG7dX0</t>
  </si>
  <si>
    <t>uM2bJ0jO6</t>
  </si>
  <si>
    <t>cG6sW4dY3</t>
  </si>
  <si>
    <t>hL2bD1pV4</t>
  </si>
  <si>
    <t>sP5iC3kW8</t>
  </si>
  <si>
    <t>eS5xF1iG2</t>
  </si>
  <si>
    <t>bT7rR0sU3</t>
  </si>
  <si>
    <t>hV0yG1iE0</t>
  </si>
  <si>
    <t>pH8cB4lG8</t>
  </si>
  <si>
    <t>oX2jT5bB7</t>
  </si>
  <si>
    <t>mR2lK1cN0</t>
  </si>
  <si>
    <t>eD7lM4pI1</t>
  </si>
  <si>
    <t>dO4mX3yS0</t>
  </si>
  <si>
    <t>iM4xI6jH6</t>
  </si>
  <si>
    <t>mN1uU3wR1</t>
  </si>
  <si>
    <t>qT0yF8lW7</t>
  </si>
  <si>
    <t>pD3lV7hR3</t>
  </si>
  <si>
    <t>mX3rY0nT2</t>
  </si>
  <si>
    <t>yW0wM5tS6</t>
  </si>
  <si>
    <t>jL3gB1uV5</t>
  </si>
  <si>
    <t>dF0uQ3hM8</t>
  </si>
  <si>
    <t>wO4bU6rS6</t>
  </si>
  <si>
    <t>kN2rL3pO5</t>
  </si>
  <si>
    <t>sH0kU7cI7</t>
  </si>
  <si>
    <t>mE0iW3lP7</t>
  </si>
  <si>
    <t>sA1jU1mB3</t>
  </si>
  <si>
    <t>oC7hY8jO6</t>
  </si>
  <si>
    <t>jU6tG2dF2</t>
  </si>
  <si>
    <t>mM5iU5mW8</t>
  </si>
  <si>
    <t>pP5mW0aY7</t>
  </si>
  <si>
    <t>lJ2kG8gD4</t>
  </si>
  <si>
    <t>tB8oM4dF6</t>
  </si>
  <si>
    <t>xY4gM7aD2</t>
  </si>
  <si>
    <t>bL2sT2gS4</t>
  </si>
  <si>
    <t>hN8mV4uH4</t>
  </si>
  <si>
    <t>xJ7eB3oY5</t>
  </si>
  <si>
    <t>nO6fV5oN3</t>
  </si>
  <si>
    <t>gB7qV8tS8</t>
  </si>
  <si>
    <t>yW2yW0sY3</t>
  </si>
  <si>
    <t>vX1mQ3eR6</t>
  </si>
  <si>
    <t>eK3aD3hE1</t>
  </si>
  <si>
    <t>vD0yU7gB6</t>
  </si>
  <si>
    <t>fE6jI3bK8</t>
  </si>
  <si>
    <t>sT3mN1bL4</t>
  </si>
  <si>
    <t>wW7fH8wO1</t>
  </si>
  <si>
    <t>jO5gM5iT6</t>
  </si>
  <si>
    <t>wA3kX0tP3</t>
  </si>
  <si>
    <t>gM2cV3hH6</t>
  </si>
  <si>
    <t>eI3cM8sQ5</t>
  </si>
  <si>
    <t>aD0cO8gB8</t>
  </si>
  <si>
    <t>fJ7vQ2tQ3</t>
  </si>
  <si>
    <t>lD6nC4kR3</t>
  </si>
  <si>
    <t>nX0jO6eJ7</t>
  </si>
  <si>
    <t>oS0fU4iY5</t>
  </si>
  <si>
    <t>iE1aL8nG4</t>
  </si>
  <si>
    <t>eD3eV1wG0</t>
  </si>
  <si>
    <t>eE8xF1wR5</t>
  </si>
  <si>
    <t>iY6kC4iV8</t>
  </si>
  <si>
    <t>mS4aI6bN8</t>
  </si>
  <si>
    <t>hW6lP6eI7</t>
  </si>
  <si>
    <t>kL1fI1tL8</t>
  </si>
  <si>
    <t>eW5iS1wD1</t>
  </si>
  <si>
    <t>sJ6tO2tY6</t>
  </si>
  <si>
    <t>mE7kW2lQ5</t>
  </si>
  <si>
    <t>xS1oK0vT7</t>
  </si>
  <si>
    <t>bD4oJ3pV1</t>
  </si>
  <si>
    <t>oD1kP7tU4</t>
  </si>
  <si>
    <t>eV7wO0iE0</t>
  </si>
  <si>
    <t>jO1iD5iN7</t>
  </si>
  <si>
    <t>sA2dR2sF3</t>
  </si>
  <si>
    <t>eV0qW6sT1</t>
  </si>
  <si>
    <t>eO0dD0xR1</t>
  </si>
  <si>
    <t>qG8aG3fG4</t>
  </si>
  <si>
    <t>rK0eD3xS7</t>
  </si>
  <si>
    <t>uK6hG4fW7</t>
  </si>
  <si>
    <t>wS0eU0kU7</t>
  </si>
  <si>
    <t>pW1cV8vL7</t>
  </si>
  <si>
    <t>dX0mO7gL7</t>
  </si>
  <si>
    <t>eB4dU5lL4</t>
  </si>
  <si>
    <t>sK0lI7pB1</t>
  </si>
  <si>
    <t>mM3vW0aB2</t>
  </si>
  <si>
    <t>xA3mU8aJ6</t>
  </si>
  <si>
    <t>jQ7jT5aX6</t>
  </si>
  <si>
    <t>lE4aV0tD6</t>
  </si>
  <si>
    <t>uO3vT6mG1</t>
  </si>
  <si>
    <t>pJ4bL3uH5</t>
  </si>
  <si>
    <t>dW8yA7oW8</t>
  </si>
  <si>
    <t>aK0kT4nY3</t>
  </si>
  <si>
    <t>cP1pI4fN6</t>
  </si>
  <si>
    <t>hE3pO8dM5</t>
  </si>
  <si>
    <t>gT5gS0fX6</t>
  </si>
  <si>
    <t>tT3kQ2yJ6</t>
  </si>
  <si>
    <t>nF7pQ8kB2</t>
  </si>
  <si>
    <t>sD0xY5hE0</t>
  </si>
  <si>
    <t>qI4cU2vH8</t>
  </si>
  <si>
    <t>uT1cO1dO3</t>
  </si>
  <si>
    <t>oG6oJ4oN8</t>
  </si>
  <si>
    <t>iA3dA8iH7</t>
  </si>
  <si>
    <t>rB4rW8vU8</t>
  </si>
  <si>
    <t>pC4xS3wJ7</t>
  </si>
  <si>
    <t>wY8mF1qE3</t>
  </si>
  <si>
    <t>yV7bE4eO2</t>
  </si>
  <si>
    <t>xO3jH3lL6</t>
  </si>
  <si>
    <t>bI7hS3wG0</t>
  </si>
  <si>
    <t>dW1dV8gF1</t>
  </si>
  <si>
    <t>sC2yU1sP8</t>
  </si>
  <si>
    <t>xL6eR3iR0</t>
  </si>
  <si>
    <t>fK4rM6jU8</t>
  </si>
  <si>
    <t>gI8jM2fT3</t>
  </si>
  <si>
    <t>qU5eM5gQ7</t>
  </si>
  <si>
    <t>tU6xF1bA5</t>
  </si>
  <si>
    <t>lE4fP3qC7</t>
  </si>
  <si>
    <t>rU5vJ3dI7</t>
  </si>
  <si>
    <t>vI0uW0rP0</t>
  </si>
  <si>
    <t>kD3qX2pB2</t>
  </si>
  <si>
    <t>pD7dA7eP0</t>
  </si>
  <si>
    <t>xY4mC6wV3</t>
  </si>
  <si>
    <t>hV5uT2tH7</t>
  </si>
  <si>
    <t>yB4rJ1mD1</t>
  </si>
  <si>
    <t>gV4dO1mV5</t>
  </si>
  <si>
    <t>wR2pR3mX6</t>
  </si>
  <si>
    <t>dY5mD5jF3</t>
  </si>
  <si>
    <t>iJ8tX0kD4</t>
  </si>
  <si>
    <t>jW8yN5qB5</t>
  </si>
  <si>
    <t>vL3uU2jS8</t>
  </si>
  <si>
    <t>tQ5pV3rM2</t>
  </si>
  <si>
    <t>eO6bY3qN0</t>
  </si>
  <si>
    <t>cN7qL5kN7</t>
  </si>
  <si>
    <t>kS0lN0kO7</t>
  </si>
  <si>
    <t>bY5kI7qA1</t>
  </si>
  <si>
    <t>oK1fS8kV0</t>
  </si>
  <si>
    <t>xU8gG1pJ0</t>
  </si>
  <si>
    <t>fN8yN2tR0</t>
  </si>
  <si>
    <t>uD4bJ3aC8</t>
  </si>
  <si>
    <t>hW1rK0vW6</t>
  </si>
  <si>
    <t>cK6mQ1yQ6</t>
  </si>
  <si>
    <t>dL7gY8tW0</t>
  </si>
  <si>
    <t>rJ5gR2mG7</t>
  </si>
  <si>
    <t>wA2mE0dG4</t>
  </si>
  <si>
    <t>qM7sC1vX6</t>
  </si>
  <si>
    <t>yQ7xI2vT8</t>
  </si>
  <si>
    <t>aR2qH3xH0</t>
  </si>
  <si>
    <t>pI2lQ2rK5</t>
  </si>
  <si>
    <t>qX2uC2yO0</t>
  </si>
  <si>
    <t>uQ5uS1fT6</t>
  </si>
  <si>
    <t>sB0aB1kR2</t>
  </si>
  <si>
    <t>rE7eL2sX0</t>
  </si>
  <si>
    <t>tU5uS4tL3</t>
  </si>
  <si>
    <t>iC3eO0xD0</t>
  </si>
  <si>
    <t>bU4jK8wU4</t>
  </si>
  <si>
    <t>uY0cW4dJ1</t>
  </si>
  <si>
    <t>pF3kH4oI4</t>
  </si>
  <si>
    <t>iV7wN2vM2</t>
  </si>
  <si>
    <t>yO5tM0fQ0</t>
  </si>
  <si>
    <t>kX6vJ5aE5</t>
  </si>
  <si>
    <t>bC5hQ0rH7</t>
  </si>
  <si>
    <t>lH5qQ4uF8</t>
  </si>
  <si>
    <t>sO4eE3dD6</t>
  </si>
  <si>
    <t>hU6nN7bY6</t>
  </si>
  <si>
    <t>jQ6bL7jT5</t>
  </si>
  <si>
    <t>sQ3gP7qU6</t>
  </si>
  <si>
    <t>xI3mL3aC8</t>
  </si>
  <si>
    <t>rR6kN1fP2</t>
  </si>
  <si>
    <t>kG4eQ3vT6</t>
  </si>
  <si>
    <t>cQ1aF8nJ5</t>
  </si>
  <si>
    <t>mN8gL1mW7</t>
  </si>
  <si>
    <t>xC8cD5vY2</t>
  </si>
  <si>
    <t>yV0qP0nB1</t>
  </si>
  <si>
    <t>fK6dG5jP0</t>
  </si>
  <si>
    <t>uY2yW7cF2</t>
  </si>
  <si>
    <t>sR1lG2cP6</t>
  </si>
  <si>
    <t>sC4eR8qE6</t>
  </si>
  <si>
    <t>pJ0bI8cC7</t>
  </si>
  <si>
    <t>uW8dL4jO5</t>
  </si>
  <si>
    <t>xW4wO1yM2</t>
  </si>
  <si>
    <t>vH1mG2wK7</t>
  </si>
  <si>
    <t>gF4sR0qB2</t>
  </si>
  <si>
    <t>kD1fN6yB6</t>
  </si>
  <si>
    <t>rD4qT5jI5</t>
  </si>
  <si>
    <t>uA5qM2vA5</t>
  </si>
  <si>
    <t>bY5kB3pA1</t>
  </si>
  <si>
    <t>pE5gU5tU7</t>
  </si>
  <si>
    <t>qF1kV2hP7</t>
  </si>
  <si>
    <t>qH0pX2rP8</t>
  </si>
  <si>
    <t>uU2tC4jE8</t>
  </si>
  <si>
    <t>aH8fM1iU1</t>
  </si>
  <si>
    <t>kP2tL3fC6</t>
  </si>
  <si>
    <t>dJ3wV2lM3</t>
  </si>
  <si>
    <t>iE0aK6gW5</t>
  </si>
  <si>
    <t>mJ6tA1nN8</t>
  </si>
  <si>
    <t>oO7qO7fG7</t>
  </si>
  <si>
    <t>rA2sB6uY4</t>
  </si>
  <si>
    <t>fN4fE8fQ4</t>
  </si>
  <si>
    <t>yP8hC3dK0</t>
  </si>
  <si>
    <t>bD1kN2dP2</t>
  </si>
  <si>
    <t>gS4cQ6fT5</t>
  </si>
  <si>
    <t>gF5jV7mE1</t>
  </si>
  <si>
    <t>bW7lD0nD4</t>
  </si>
  <si>
    <t>qI2uH5pB8</t>
  </si>
  <si>
    <t>wX1fC2tK2</t>
  </si>
  <si>
    <t>wH5hU1bS6</t>
  </si>
  <si>
    <t>bT5eG8fV0</t>
  </si>
  <si>
    <t>kN0uM4gF8</t>
  </si>
  <si>
    <t>aD6qO0mH6</t>
  </si>
  <si>
    <t>bV5oH6vT5</t>
  </si>
  <si>
    <t>sB5iB7bA2</t>
  </si>
  <si>
    <t>dJ7wB5vD4</t>
  </si>
  <si>
    <t>tK5nO5wV5</t>
  </si>
  <si>
    <t>pB8sC3bE8</t>
  </si>
  <si>
    <t>sJ3lJ2nW0</t>
  </si>
  <si>
    <t>oX5qP8yO4</t>
  </si>
  <si>
    <t>aI3bM5nY5</t>
  </si>
  <si>
    <t>lP5aP2hN8</t>
  </si>
  <si>
    <t>lQ1wK5wT8</t>
  </si>
  <si>
    <t>gW4aB8vH7</t>
  </si>
  <si>
    <t>aK8xP4sF1</t>
  </si>
  <si>
    <t>bY4xH3gL3</t>
  </si>
  <si>
    <t>yS5tT7eX8</t>
  </si>
  <si>
    <t>kQ6dJ1iR6</t>
  </si>
  <si>
    <t>qX1dF2aM5</t>
  </si>
  <si>
    <t>xA7wU7sC1</t>
  </si>
  <si>
    <t>yW4yV8iV3</t>
  </si>
  <si>
    <t>bK2kU2lF4</t>
  </si>
  <si>
    <t>mM1vV7iS0</t>
  </si>
  <si>
    <t>mR2dE5dD5</t>
  </si>
  <si>
    <t>rY2jT8iV4</t>
  </si>
  <si>
    <t>uU0wQ8lB8</t>
  </si>
  <si>
    <t>wP5nS4wJ5</t>
  </si>
  <si>
    <t>yG0yU4bK7</t>
  </si>
  <si>
    <t>iX0nY3hF7</t>
  </si>
  <si>
    <t>eE7uF3tI0</t>
  </si>
  <si>
    <t>oK6pD4bN8</t>
  </si>
  <si>
    <t>dN8sV0fX2</t>
  </si>
  <si>
    <t>qD7rV2iE1</t>
  </si>
  <si>
    <t>nI7rP0xA2</t>
  </si>
  <si>
    <t>cJ6jC5jW6</t>
  </si>
  <si>
    <t>qI0eU7oO6</t>
  </si>
  <si>
    <t>fM5cQ4rR0</t>
  </si>
  <si>
    <t>kV8cJ7yN1</t>
  </si>
  <si>
    <t>nM5jF8cX2</t>
  </si>
  <si>
    <t>pQ7pN3hQ0</t>
  </si>
  <si>
    <t>xK4rF2xN8</t>
  </si>
  <si>
    <t>nY0wC6gG8</t>
  </si>
  <si>
    <t>rR1eA2vP5</t>
  </si>
  <si>
    <t>yK2gU2kD4</t>
  </si>
  <si>
    <t>qC6pX6gA0</t>
  </si>
  <si>
    <t>xB8oN1bA0</t>
  </si>
  <si>
    <t>kF6dP3vA5</t>
  </si>
  <si>
    <t>hK5lP1gF1</t>
  </si>
  <si>
    <t>iY8cO5aU4</t>
  </si>
  <si>
    <t>kB5vI1tE6</t>
  </si>
  <si>
    <t>kQ6fJ4iH2</t>
  </si>
  <si>
    <t>uW5qX3eF8</t>
  </si>
  <si>
    <t>tI4lY4jH2</t>
  </si>
  <si>
    <t>aI3dY7rU1</t>
  </si>
  <si>
    <t>vM8nP7lD3</t>
  </si>
  <si>
    <t>wA6iA4iK8</t>
  </si>
  <si>
    <t>aC6uR0rT3</t>
  </si>
  <si>
    <t>qA6mC1pU8</t>
  </si>
  <si>
    <t>qN8qB2qD6</t>
  </si>
  <si>
    <t>dF7lY1hX7</t>
  </si>
  <si>
    <t>rD0aL2tX2</t>
  </si>
  <si>
    <t>mS1nB5lS1</t>
  </si>
  <si>
    <t>tG3oT7yC7</t>
  </si>
  <si>
    <t>aY7wA8bR7</t>
  </si>
  <si>
    <t>kG3iI1xG6</t>
  </si>
  <si>
    <t>aA4jG2lE6</t>
  </si>
  <si>
    <t>dY7fE6mW5</t>
  </si>
  <si>
    <t>jD6bM0yH3</t>
  </si>
  <si>
    <t>jW7nF2aT5</t>
  </si>
  <si>
    <t>oO7sL8oG7</t>
  </si>
  <si>
    <t>oC5tK4iH5</t>
  </si>
  <si>
    <t>sK7vX7wU0</t>
  </si>
  <si>
    <t>eJ3qL5wN2</t>
  </si>
  <si>
    <t>pP4pI7xD8</t>
  </si>
  <si>
    <t>lN7jK2xH2</t>
  </si>
  <si>
    <t>yM7cN5yW3</t>
  </si>
  <si>
    <t>sE8nR2vA2</t>
  </si>
  <si>
    <t>oF2gO3gJ7</t>
  </si>
  <si>
    <t>bJ4jJ5rJ0</t>
  </si>
  <si>
    <t>eL5jE3lG4</t>
  </si>
  <si>
    <t>iY0rV6tD5</t>
  </si>
  <si>
    <t>iI1oV5iH8</t>
  </si>
  <si>
    <t>xS4vN2sB0</t>
  </si>
  <si>
    <t>yF8fQ0sN3</t>
  </si>
  <si>
    <t>rO1kN5kM0</t>
  </si>
  <si>
    <t>kP6lW7qS6</t>
  </si>
  <si>
    <t>sG8rG8qY5</t>
  </si>
  <si>
    <t>yB7iI8oJ6</t>
  </si>
  <si>
    <t>pX5mR5jO0</t>
  </si>
  <si>
    <t>iD3oL1fF2</t>
  </si>
  <si>
    <t>kQ4qE1qJ5</t>
  </si>
  <si>
    <t>mH6aC4rN8</t>
  </si>
  <si>
    <t>qB8bJ2hY8</t>
  </si>
  <si>
    <t>rS1rD2fJ3</t>
  </si>
  <si>
    <t>mW2qX7bL3</t>
  </si>
  <si>
    <t>rX5xX0xC0</t>
  </si>
  <si>
    <t>gG8sA1lO2</t>
  </si>
  <si>
    <t>tN3sL2fR1</t>
  </si>
  <si>
    <t>nU0vH5nJ0</t>
  </si>
  <si>
    <t>uB5lR5bX4</t>
  </si>
  <si>
    <t>pK2sL1mV7</t>
  </si>
  <si>
    <t>mX3jD0bT2</t>
  </si>
  <si>
    <t>fP1mK4uN8</t>
  </si>
  <si>
    <t>uV5lU3vU8</t>
  </si>
  <si>
    <t>iY0mY7nD6</t>
  </si>
  <si>
    <t>vV5sB1xK3</t>
  </si>
  <si>
    <t>kY6fI0jB4</t>
  </si>
  <si>
    <t>dC5lU2wG3</t>
  </si>
  <si>
    <t>pI0pD0sA0</t>
  </si>
  <si>
    <t>bE2bJ8pS2</t>
  </si>
  <si>
    <t>kR1hR0uB1</t>
  </si>
  <si>
    <t>lH6qS5gJ4</t>
  </si>
  <si>
    <t>uE1oK8dC0</t>
  </si>
  <si>
    <t>lP7pI2gU7</t>
  </si>
  <si>
    <t>pA1aT8vA2</t>
  </si>
  <si>
    <t>rV6dE4jU4</t>
  </si>
  <si>
    <t>vC6uY6iO6</t>
  </si>
  <si>
    <t>eP4pD2dO6</t>
  </si>
  <si>
    <t>rL0aK3pF2</t>
  </si>
  <si>
    <t>tJ0sP2fV4</t>
  </si>
  <si>
    <t>sI6aH4jO8</t>
  </si>
  <si>
    <t>bU2xI0iS7</t>
  </si>
  <si>
    <t>xV1fX2iQ5</t>
  </si>
  <si>
    <t>fF2cT5sF5</t>
  </si>
  <si>
    <t>tS5kX3nC6</t>
  </si>
  <si>
    <t>dC8uC1wA8</t>
  </si>
  <si>
    <t>gC2cA5aM0</t>
  </si>
  <si>
    <t>vY6lH0aN2</t>
  </si>
  <si>
    <t>hQ7eO4nM7</t>
  </si>
  <si>
    <t>oQ2nX4lW0</t>
  </si>
  <si>
    <t>hB6gL4mC4</t>
  </si>
  <si>
    <t>wY5sD4mU5</t>
  </si>
  <si>
    <t>fG3wF3xB7</t>
  </si>
  <si>
    <t>uR6qV8cU8</t>
  </si>
  <si>
    <t>qP2jC1cB8</t>
  </si>
  <si>
    <t>sR3dP5eJ4</t>
  </si>
  <si>
    <t>sT0xJ0mE3</t>
  </si>
  <si>
    <t>dE0rT2tW2</t>
  </si>
  <si>
    <t>xK5yO3nP8</t>
  </si>
  <si>
    <t>gI3iH8jD6</t>
  </si>
  <si>
    <t>xO6gD2lW5</t>
  </si>
  <si>
    <t>qB5cW6tG1</t>
  </si>
  <si>
    <t>rL0yX7hP1</t>
  </si>
  <si>
    <t>yP4iN2tV5</t>
  </si>
  <si>
    <t>bC3eX3mE1</t>
  </si>
  <si>
    <t>uF6gH0fP3</t>
  </si>
  <si>
    <t>aA2cQ0cM4</t>
  </si>
  <si>
    <t>oY5bA6gK8</t>
  </si>
  <si>
    <t>dQ8tY7uW7</t>
  </si>
  <si>
    <t>nQ1eV6gO3</t>
  </si>
  <si>
    <t>mR4hG0kF6</t>
  </si>
  <si>
    <t>kB6wK2hN8</t>
  </si>
  <si>
    <t>lL8nB5tO4</t>
  </si>
  <si>
    <t>xF4wI1rV0</t>
  </si>
  <si>
    <t>sO7hG0fV5</t>
  </si>
  <si>
    <t>xW1gX4kE1</t>
  </si>
  <si>
    <t>kX3aB3pE5</t>
  </si>
  <si>
    <t>cX2cM4yD8</t>
  </si>
  <si>
    <t>bX0aR5bA6</t>
  </si>
  <si>
    <t>nW5tR5hG1</t>
  </si>
  <si>
    <t>mR6rP6eV7</t>
  </si>
  <si>
    <t>kT6yR7qP1</t>
  </si>
  <si>
    <t>iM1cG5wE0</t>
  </si>
  <si>
    <t>pQ7uA3uK7</t>
  </si>
  <si>
    <t>xL7wT1xC6</t>
  </si>
  <si>
    <t>rM4cL8tB1</t>
  </si>
  <si>
    <t>cN4sK0cF3</t>
  </si>
  <si>
    <t>bY1cG0bX6</t>
  </si>
  <si>
    <t>oJ1vI0uH6</t>
  </si>
  <si>
    <t>nH7pA1tV3</t>
  </si>
  <si>
    <t>xF4eJ0lD4</t>
  </si>
  <si>
    <t>bB1kH1cB5</t>
  </si>
  <si>
    <t>kT7cN6bP3</t>
  </si>
  <si>
    <t>mD7iQ6qP6</t>
  </si>
  <si>
    <t>tB6iK7gJ3</t>
  </si>
  <si>
    <t>wP4yB8dA4</t>
  </si>
  <si>
    <t>kI7iX3xU8</t>
  </si>
  <si>
    <t>gB6dT2aG4</t>
  </si>
  <si>
    <t>yC3wL4nM7</t>
  </si>
  <si>
    <t>vL5rK4oE0</t>
  </si>
  <si>
    <t>dD3xU0fN4</t>
  </si>
  <si>
    <t>kR4dG2nI0</t>
  </si>
  <si>
    <t>nK3iA2cF5</t>
  </si>
  <si>
    <t>xY1sP2wM5</t>
  </si>
  <si>
    <t>gM6iV7mN5</t>
  </si>
  <si>
    <t>pJ0aQ3hO8</t>
  </si>
  <si>
    <t>fF8eD4sD0</t>
  </si>
  <si>
    <t>mP2vA7qS5</t>
  </si>
  <si>
    <t>kQ6mA1iK6</t>
  </si>
  <si>
    <t>fT2kP4iP0</t>
  </si>
  <si>
    <t>gE0tR0fT1</t>
  </si>
  <si>
    <t>qL1iX3wD3</t>
  </si>
  <si>
    <t>uI6rY3cB3</t>
  </si>
  <si>
    <t>kH0lC0eN3</t>
  </si>
  <si>
    <t>hP8pC0kI1</t>
  </si>
  <si>
    <t>wX0kJ8yL4</t>
  </si>
  <si>
    <t>sN8cB1jA2</t>
  </si>
  <si>
    <t>eY4oE0oK5</t>
  </si>
  <si>
    <t>kN4rS2mX8</t>
  </si>
  <si>
    <t>iU3hN4yI0</t>
  </si>
  <si>
    <t>gB6uL3fA2</t>
  </si>
  <si>
    <t>eS3hV0xY4</t>
  </si>
  <si>
    <t>mJ1dY2lR7</t>
  </si>
  <si>
    <t>xP5uA4lX6</t>
  </si>
  <si>
    <t>hM1mR5oV2</t>
  </si>
  <si>
    <t>pK1tR0aB0</t>
  </si>
  <si>
    <t>aW3lE3fI7</t>
  </si>
  <si>
    <t>pB6uL3dW2</t>
  </si>
  <si>
    <t>oR4gW0oC0</t>
  </si>
  <si>
    <t>pL7mX8xW5</t>
  </si>
  <si>
    <t>wU4tU7bB1</t>
  </si>
  <si>
    <t>uQ3aA5iR4</t>
  </si>
  <si>
    <t>sP3vA3oW0</t>
  </si>
  <si>
    <t>tK4aK8fX4</t>
  </si>
  <si>
    <t>hO1uF2dT1</t>
  </si>
  <si>
    <t>qN8nE0gJ7</t>
  </si>
  <si>
    <t>bV3kP8sL5</t>
  </si>
  <si>
    <t>fO8uX5lP8</t>
  </si>
  <si>
    <t>hU2mU4kV7</t>
  </si>
  <si>
    <t>qL7iR8fO3</t>
  </si>
  <si>
    <t>lH3yT5wV1</t>
  </si>
  <si>
    <t>fX7nV2cA8</t>
  </si>
  <si>
    <t>cE7hA7jE4</t>
  </si>
  <si>
    <t>cC2bS1dC2</t>
  </si>
  <si>
    <t>dW8gU1oE5</t>
  </si>
  <si>
    <t>sQ3tH8fL8</t>
  </si>
  <si>
    <t>xB7vX6pF0</t>
  </si>
  <si>
    <t>bD4sS5dA5</t>
  </si>
  <si>
    <t>dE1xM4gD1</t>
  </si>
  <si>
    <t>sC0iJ2vS5</t>
  </si>
  <si>
    <t>mA7bY4tK3</t>
  </si>
  <si>
    <t>fY8oF7aD7</t>
  </si>
  <si>
    <t>cU3xG2hA3</t>
  </si>
  <si>
    <t>fS2dR1nD4</t>
  </si>
  <si>
    <t>tR8tC3sY1</t>
  </si>
  <si>
    <t>oR6yT1qI1</t>
  </si>
  <si>
    <t>mF3dQ1hS5</t>
  </si>
  <si>
    <t>uP5aF5yK5</t>
  </si>
  <si>
    <t>pG4jK0hV7</t>
  </si>
  <si>
    <t>bE1iW1gH2</t>
  </si>
  <si>
    <t>iR5iA5iA8</t>
  </si>
  <si>
    <t>gB8qF2pG8</t>
  </si>
  <si>
    <t>vG3iF7eX8</t>
  </si>
  <si>
    <t>uC2qF1mE7</t>
  </si>
  <si>
    <t>xN8rA8xA1</t>
  </si>
  <si>
    <t>dF7mG7eC2</t>
  </si>
  <si>
    <t>hC5kS7rY4</t>
  </si>
  <si>
    <t>pI4jW7nH0</t>
  </si>
  <si>
    <t>uN5xV4aF5</t>
  </si>
  <si>
    <t>tG7aH7fX2</t>
  </si>
  <si>
    <t>rX2dN2uB7</t>
  </si>
  <si>
    <t>iK3eT1mM7</t>
  </si>
  <si>
    <t>aK0cP7cX6</t>
  </si>
  <si>
    <t>wG1kO4kK6</t>
  </si>
  <si>
    <t>qG0sQ0fC7</t>
  </si>
  <si>
    <t>yN3wU3gD8</t>
  </si>
  <si>
    <t>hE1fM5eD2</t>
  </si>
  <si>
    <t>vQ4wV4gV5</t>
  </si>
  <si>
    <t>pX6kC3vY5</t>
  </si>
  <si>
    <t>gH1eY3qF0</t>
  </si>
  <si>
    <t>rA2wD1aH7</t>
  </si>
  <si>
    <t>uU1dB1bI1</t>
  </si>
  <si>
    <t>bG0eE3kO6</t>
  </si>
  <si>
    <t>hT5cF3qR7</t>
  </si>
  <si>
    <t>bM4xQ5nN5</t>
  </si>
  <si>
    <t>tI5sO3cS6</t>
  </si>
  <si>
    <t>uW4cS3lU1</t>
  </si>
  <si>
    <t>uG0yE3eF1</t>
  </si>
  <si>
    <t>wE4iD1cA1</t>
  </si>
  <si>
    <t>vM7mT3kA8</t>
  </si>
  <si>
    <t>vG1qJ1qI3</t>
  </si>
  <si>
    <t>vV4cS7bY2</t>
  </si>
  <si>
    <t>oM8tC7eT0</t>
  </si>
  <si>
    <t>qV3sI1hT5</t>
  </si>
  <si>
    <t>hP3rJ7lC5</t>
  </si>
  <si>
    <t>xU4hC0wE3</t>
  </si>
  <si>
    <t>iP3vM3lW5</t>
  </si>
  <si>
    <t>vB6kH2aI8</t>
  </si>
  <si>
    <t>wP8nJ7bQ7</t>
  </si>
  <si>
    <t>kL0nH2kA7</t>
  </si>
  <si>
    <t>iN6gR7vH7</t>
  </si>
  <si>
    <t>tH6tU1pU5</t>
  </si>
  <si>
    <t>pD5eU1gQ0</t>
  </si>
  <si>
    <t>tB3oK6dC5</t>
  </si>
  <si>
    <t>mN4cX8fU3</t>
  </si>
  <si>
    <t>nU3mM3yA5</t>
  </si>
  <si>
    <t>mR5yF0fG7</t>
  </si>
  <si>
    <t>rX0vV2cI0</t>
  </si>
  <si>
    <t>nK3fU1rI8</t>
  </si>
  <si>
    <t>nH6iV8qW7</t>
  </si>
  <si>
    <t>oM6yM3cJ2</t>
  </si>
  <si>
    <t>bW7cP6yC7</t>
  </si>
  <si>
    <t>qT0uB7mI1</t>
  </si>
  <si>
    <t>wD5uO7aH1</t>
  </si>
  <si>
    <t>rG3dA0mX8</t>
  </si>
  <si>
    <t>fO8nL8eV1</t>
  </si>
  <si>
    <t>uD8vJ7dW1</t>
  </si>
  <si>
    <t>oS7tW2iM3</t>
  </si>
  <si>
    <t>sW1kH0aE0</t>
  </si>
  <si>
    <t>uH8lJ3wB7</t>
  </si>
  <si>
    <t>oD1qS0uS1</t>
  </si>
  <si>
    <t>sP4oS4oG4</t>
  </si>
  <si>
    <t>qM4fE2uQ5</t>
  </si>
  <si>
    <t>hE4kN5xM7</t>
  </si>
  <si>
    <t>qU2vE8oQ8</t>
  </si>
  <si>
    <t>jI6tC2pM0</t>
  </si>
  <si>
    <t>vQ7mF3oL1</t>
  </si>
  <si>
    <t>uK0xI3nI2</t>
  </si>
  <si>
    <t>hE7iX4qJ5</t>
  </si>
  <si>
    <t>iR1jX3nT6</t>
  </si>
  <si>
    <t>dG1pK3rY1</t>
  </si>
  <si>
    <t>rQ3aD0bI4</t>
  </si>
  <si>
    <t>xR7jK1wD6</t>
  </si>
  <si>
    <t>dG5uQ6nN7</t>
  </si>
  <si>
    <t>cN8gE5tU3</t>
  </si>
  <si>
    <t>nC4uU1qF0</t>
  </si>
  <si>
    <t>xU5rN5oR3</t>
  </si>
  <si>
    <t>kT2gJ4pE3</t>
  </si>
  <si>
    <t>mA1vM5nC6</t>
  </si>
  <si>
    <t>uJ7pJ6fU2</t>
  </si>
  <si>
    <t>dD4wW6mU1</t>
  </si>
  <si>
    <t>fE8eI0vA7</t>
  </si>
  <si>
    <t>vS7eQ2pV4</t>
  </si>
  <si>
    <t>sJ2tC7hS6</t>
  </si>
  <si>
    <t>iA5rT7nN0</t>
  </si>
  <si>
    <t>fK1tX6mR1</t>
  </si>
  <si>
    <t>kC2iT3jR5</t>
  </si>
  <si>
    <t>fA3mI1pG6</t>
  </si>
  <si>
    <t>rQ2tX3pA0</t>
  </si>
  <si>
    <t>gG5gU5vO8</t>
  </si>
  <si>
    <t>iC4lQ8eX7</t>
  </si>
  <si>
    <t>fA5sU5jO2</t>
  </si>
  <si>
    <t>qN0tN0kX6</t>
  </si>
  <si>
    <t>rY2uS7cY7</t>
  </si>
  <si>
    <t>qA1tT8nP0</t>
  </si>
  <si>
    <t>fL0lH7nN1</t>
  </si>
  <si>
    <t>jC8qF8gO8</t>
  </si>
  <si>
    <t>yF5fI4oU4</t>
  </si>
  <si>
    <t>aA2uX4oK5</t>
  </si>
  <si>
    <t>dC3uO7oF7</t>
  </si>
  <si>
    <t>jV1uV3vN6</t>
  </si>
  <si>
    <t>cR2oH4lG8</t>
  </si>
  <si>
    <t>oT7qJ1uA3</t>
  </si>
  <si>
    <t>dG2jA0lC1</t>
  </si>
  <si>
    <t>wP6lC0qL0</t>
  </si>
  <si>
    <t>cN0aS5oQ6</t>
  </si>
  <si>
    <t>sD2pI5cV4</t>
  </si>
  <si>
    <t>sK7uV3wX0</t>
  </si>
  <si>
    <t>gM5qN5vW8</t>
  </si>
  <si>
    <t>hT7nW6mR1</t>
  </si>
  <si>
    <t>lN5hJ8jA0</t>
  </si>
  <si>
    <t>fF1qJ5yW8</t>
  </si>
  <si>
    <t>iW3yS3kA5</t>
  </si>
  <si>
    <t>dJ8qB4fN1</t>
  </si>
  <si>
    <t>pV1yA8mT3</t>
  </si>
  <si>
    <t>uS4jJ2sY3</t>
  </si>
  <si>
    <t>qD0gJ5jP4</t>
  </si>
  <si>
    <t>yJ3uP5nJ3</t>
  </si>
  <si>
    <t>kI3pS3hA5</t>
  </si>
  <si>
    <t>rR0nW6iR4</t>
  </si>
  <si>
    <t>oB3fK4uU1</t>
  </si>
  <si>
    <t>cO4rD8jK7</t>
  </si>
  <si>
    <t>vL2fQ5pY2</t>
  </si>
  <si>
    <t>xQ6iS6nO1</t>
  </si>
  <si>
    <t>pN5vM0lJ6</t>
  </si>
  <si>
    <t>oW3lU3qY6</t>
  </si>
  <si>
    <t>dA2uK2bX8</t>
  </si>
  <si>
    <t>nA8xQ0hD1</t>
  </si>
  <si>
    <t>nE0tA3fK4</t>
  </si>
  <si>
    <t>bU4gA1nR8</t>
  </si>
  <si>
    <t>dP4uC7fJ0</t>
  </si>
  <si>
    <t>wN7aW6wN4</t>
  </si>
  <si>
    <t>gD5rF4lN0</t>
  </si>
  <si>
    <t>oU5qB3vU6</t>
  </si>
  <si>
    <t>xP3qP3aH8</t>
  </si>
  <si>
    <t>cD7vQ4cI3</t>
  </si>
  <si>
    <t>qP0gE3sW1</t>
  </si>
  <si>
    <t>xY8tM6aY4</t>
  </si>
  <si>
    <t>tO4mQ0bT7</t>
  </si>
  <si>
    <t>yX1nW0tT5</t>
  </si>
  <si>
    <t>gF3rC5vK7</t>
  </si>
  <si>
    <t>iV1lO1vR5</t>
  </si>
  <si>
    <t>rB4nE6fM1</t>
  </si>
  <si>
    <t>vH7hD4sY0</t>
  </si>
  <si>
    <t>jP6lU6lW0</t>
  </si>
  <si>
    <t>iX7aO6qK1</t>
  </si>
  <si>
    <t>xI4eQ4nK8</t>
  </si>
  <si>
    <t>xB8lT3oQ0</t>
  </si>
  <si>
    <t>fJ5kS2cR6</t>
  </si>
  <si>
    <t>fI3hU0nB6</t>
  </si>
  <si>
    <t>gU0nQ8rQ2</t>
  </si>
  <si>
    <t>pK4oO8jJ4</t>
  </si>
  <si>
    <t>hS2gF6dW1</t>
  </si>
  <si>
    <t>vB4rS5aD6</t>
  </si>
  <si>
    <t>sK4wF7mY7</t>
  </si>
  <si>
    <t>kT6iD4lA4</t>
  </si>
  <si>
    <t>hD5xN0cD4</t>
  </si>
  <si>
    <t>wG6hN2nO6</t>
  </si>
  <si>
    <t>rV5dA3xD5</t>
  </si>
  <si>
    <t>jW5tK5mS7</t>
  </si>
  <si>
    <t>xJ0bT8nN2</t>
  </si>
  <si>
    <t>mQ6fT6nF6</t>
  </si>
  <si>
    <t>rD3aT1mM8</t>
  </si>
  <si>
    <t>jE3bX7fC6</t>
  </si>
  <si>
    <t>lP7dU2eQ2</t>
  </si>
  <si>
    <t>cU6uT1vP7</t>
  </si>
  <si>
    <t>xM7eH3oO7</t>
  </si>
  <si>
    <t>aG3qG0hH0</t>
  </si>
  <si>
    <t>pI1fW2iW4</t>
  </si>
  <si>
    <t>vT5rJ2xN8</t>
  </si>
  <si>
    <t>oS2xQ7oA6</t>
  </si>
  <si>
    <t>bW4rQ3mR2</t>
  </si>
  <si>
    <t>bQ6xK4vT4</t>
  </si>
  <si>
    <t>gC0fI2sV8</t>
  </si>
  <si>
    <t>lF8xQ4rH6</t>
  </si>
  <si>
    <t>eI5rT2nG2</t>
  </si>
  <si>
    <t>cB6sJ1hR6</t>
  </si>
  <si>
    <t>fY5gQ8wQ8</t>
  </si>
  <si>
    <t>lD8xN5dG2</t>
  </si>
  <si>
    <t>rT3nC4kE1</t>
  </si>
  <si>
    <t>cY3sX7tI8</t>
  </si>
  <si>
    <t>qN8uU1hQ2</t>
  </si>
  <si>
    <t>yR0iT4qI1</t>
  </si>
  <si>
    <t>fW3jW0cY8</t>
  </si>
  <si>
    <t>mL7tS5cD3</t>
  </si>
  <si>
    <t>eA4bD4rJ4</t>
  </si>
  <si>
    <t>tX4hI8tI7</t>
  </si>
  <si>
    <t>dH0xE1eS6</t>
  </si>
  <si>
    <t>cK6nM5yX5</t>
  </si>
  <si>
    <t>qQ6eS2sP3</t>
  </si>
  <si>
    <t>oU8cL8iG0</t>
  </si>
  <si>
    <t>oC6vY5nJ6</t>
  </si>
  <si>
    <t>mW7eY0bV6</t>
  </si>
  <si>
    <t>uK5pP8bQ8</t>
  </si>
  <si>
    <t>yU6xG4fT4</t>
  </si>
  <si>
    <t>cC8hH1tM8</t>
  </si>
  <si>
    <t>dP8hA1iC2</t>
  </si>
  <si>
    <t>yC2yI4tH0</t>
  </si>
  <si>
    <t>hO3fI4eR8</t>
  </si>
  <si>
    <t>vH5jL4kF1</t>
  </si>
  <si>
    <t>pV3rG0wQ5</t>
  </si>
  <si>
    <t>oT0rI6tT5</t>
  </si>
  <si>
    <t>nL0nD3gO7</t>
  </si>
  <si>
    <t>xF4yL3eL3</t>
  </si>
  <si>
    <t>vY1fL2aH5</t>
  </si>
  <si>
    <t>eH2iY1nC3</t>
  </si>
  <si>
    <t>eU5dA0vB4</t>
  </si>
  <si>
    <t>gF3iG2sS4</t>
  </si>
  <si>
    <t>fF2qE0dN2</t>
  </si>
  <si>
    <t>kY5bK5cU0</t>
  </si>
  <si>
    <t>qO1qR2mH7</t>
  </si>
  <si>
    <t>yV4jG1xB6</t>
  </si>
  <si>
    <t>hE8xQ1nD2</t>
  </si>
  <si>
    <t>iJ4fT0bT2</t>
  </si>
  <si>
    <t>kX0aK4hN4</t>
  </si>
  <si>
    <t>yL2bK2hA1</t>
  </si>
  <si>
    <t>tG1mQ3dN7</t>
  </si>
  <si>
    <t>bL2qF4tD0</t>
  </si>
  <si>
    <t>tM5uM3wM8</t>
  </si>
  <si>
    <t>eM3tQ5sA2</t>
  </si>
  <si>
    <t>mK4gL4uO2</t>
  </si>
  <si>
    <t>iL0gP7hU5</t>
  </si>
  <si>
    <t>kT0eT5fH6</t>
  </si>
  <si>
    <t>hE5sB7jH4</t>
  </si>
  <si>
    <t>iX6aW1lY7</t>
  </si>
  <si>
    <t>vD0yY3pJ7</t>
  </si>
  <si>
    <t>yN8tS5aM7</t>
  </si>
  <si>
    <t>jA7eO7cR0</t>
  </si>
  <si>
    <t>vN3mU5yL4</t>
  </si>
  <si>
    <t>pY1pR5eB3</t>
  </si>
  <si>
    <t>dU8vS7tX6</t>
  </si>
  <si>
    <t>yF6jM8lT3</t>
  </si>
  <si>
    <t>tG8yB7pV6</t>
  </si>
  <si>
    <t>aT5yV5bL6</t>
  </si>
  <si>
    <t>bJ7vR4xW8</t>
  </si>
  <si>
    <t>yJ6kA0lA0</t>
  </si>
  <si>
    <t>oV3sD3dC4</t>
  </si>
  <si>
    <t>vW4wR5vK1</t>
  </si>
  <si>
    <t>oL1qC3sW7</t>
  </si>
  <si>
    <t>bF0yX0xT1</t>
  </si>
  <si>
    <t>iM6eW0dT2</t>
  </si>
  <si>
    <t>xU5nA2nW4</t>
  </si>
  <si>
    <t>yW6nS2fU7</t>
  </si>
  <si>
    <t>wN4qB1wL6</t>
  </si>
  <si>
    <t>wR0aQ8uN1</t>
  </si>
  <si>
    <t>tG6qW8wR7</t>
  </si>
  <si>
    <t>yE4oH2gF1</t>
  </si>
  <si>
    <t>mK8aL0bH7</t>
  </si>
  <si>
    <t>dU7hU8iN1</t>
  </si>
  <si>
    <t>sK3dC4xK2</t>
  </si>
  <si>
    <t>aE0jD5fF8</t>
  </si>
  <si>
    <t>bS0kO3fD8</t>
  </si>
  <si>
    <t>tR6rR1tJ2</t>
  </si>
  <si>
    <t>bP0eE6mY7</t>
  </si>
  <si>
    <t>nF4mA1gW8</t>
  </si>
  <si>
    <t>rG2dW5wY1</t>
  </si>
  <si>
    <t>fT8oE2oY8</t>
  </si>
  <si>
    <t>kT1fE0hC4</t>
  </si>
  <si>
    <t>jL2dW6uF1</t>
  </si>
  <si>
    <t>mN2uR0dU5</t>
  </si>
  <si>
    <t>xT6tK0wH2</t>
  </si>
  <si>
    <t>uX4sF1eG4</t>
  </si>
  <si>
    <t>iJ0gK7fV2</t>
  </si>
  <si>
    <t>vK7aY1wR7</t>
  </si>
  <si>
    <t>pN5dL4bY6</t>
  </si>
  <si>
    <t>jP3rT1iA7</t>
  </si>
  <si>
    <t>yK1pE5qD7</t>
  </si>
  <si>
    <t>bK7fV4nT8</t>
  </si>
  <si>
    <t>fD5hT7bR1</t>
  </si>
  <si>
    <t>hH6eF6sE7</t>
  </si>
  <si>
    <t>kY8fI5lP5</t>
  </si>
  <si>
    <t>bI5fI5tD6</t>
  </si>
  <si>
    <t>iY1vQ8oB6</t>
  </si>
  <si>
    <t>vU0mU5uW3</t>
  </si>
  <si>
    <t>xH1pH7tX1</t>
  </si>
  <si>
    <t>cW3iY8fA0</t>
  </si>
  <si>
    <t>nC1tI2vC8</t>
  </si>
  <si>
    <t>jX5gQ3bD5</t>
  </si>
  <si>
    <t>hS5rX2gU3</t>
  </si>
  <si>
    <t>kD0sO1mR3</t>
  </si>
  <si>
    <t>vK0vK5xV1</t>
  </si>
  <si>
    <t>gQ5yA0sX7</t>
  </si>
  <si>
    <t>eW8iP1qW4</t>
  </si>
  <si>
    <t>nQ7rT2eT0</t>
  </si>
  <si>
    <t>eR8qL6qE8</t>
  </si>
  <si>
    <t>lD8xX4tE7</t>
  </si>
  <si>
    <t>bS0cR3iJ8</t>
  </si>
  <si>
    <t>jN4jH7eF3</t>
  </si>
  <si>
    <t>uS3iM7bE4</t>
  </si>
  <si>
    <t>eA6oT2pJ8</t>
  </si>
  <si>
    <t>dM8vX4vG2</t>
  </si>
  <si>
    <t>nU3fF8cV4</t>
  </si>
  <si>
    <t>yK6kW6wJ3</t>
  </si>
  <si>
    <t>dI8pD3cY7</t>
  </si>
  <si>
    <t>bK6mM5eP7</t>
  </si>
  <si>
    <t>hN2vM0yR7</t>
  </si>
  <si>
    <t>mD0oD8bR5</t>
  </si>
  <si>
    <t>cM4bC8lU0</t>
  </si>
  <si>
    <t>pK2hN3sN0</t>
  </si>
  <si>
    <t>sW1jT6dQ0</t>
  </si>
  <si>
    <t>wH6vI6cH7</t>
  </si>
  <si>
    <t>sE2hK5rE4</t>
  </si>
  <si>
    <t>sG8dE3eN5</t>
  </si>
  <si>
    <t>cR3uJ0rX3</t>
  </si>
  <si>
    <t>vX3nM0uM5</t>
  </si>
  <si>
    <t>xK3jF1rT1</t>
  </si>
  <si>
    <t>hW5yF7rR8</t>
  </si>
  <si>
    <t>vP6fR7hP6</t>
  </si>
  <si>
    <t>oS7uN2vP8</t>
  </si>
  <si>
    <t>kI1yK6bA0</t>
  </si>
  <si>
    <t>nX8aS0yJ6</t>
  </si>
  <si>
    <t>nW3iO6vX2</t>
  </si>
  <si>
    <t>iX1tS3gC4</t>
  </si>
  <si>
    <t>qN4fI6rI8</t>
  </si>
  <si>
    <t>mI7bG6bD0</t>
  </si>
  <si>
    <t>iE7tS6kW0</t>
  </si>
  <si>
    <t>dP7yV7kC0</t>
  </si>
  <si>
    <t>bW7rB3qB2</t>
  </si>
  <si>
    <t>wN6lB1kR5</t>
  </si>
  <si>
    <t>hW5fP6kH1</t>
  </si>
  <si>
    <t>mT2fT2yT2</t>
  </si>
  <si>
    <t>rG2nU4kN8</t>
  </si>
  <si>
    <t>fP4bS8tE3</t>
  </si>
  <si>
    <t>cT0pA4sG3</t>
  </si>
  <si>
    <t>sP1tX8fK2</t>
  </si>
  <si>
    <t>lA6iX3eV1</t>
  </si>
  <si>
    <t>oA7pW4bQ8</t>
  </si>
  <si>
    <t>cD0tP7mW5</t>
  </si>
  <si>
    <t>jW6iE4lH8</t>
  </si>
  <si>
    <t>mI5nT8jO3</t>
  </si>
  <si>
    <t>xU4rD3mJ0</t>
  </si>
  <si>
    <t>iC3eA7dD1</t>
  </si>
  <si>
    <t>aM2nF0wB7</t>
  </si>
  <si>
    <t>cN0kW4qT5</t>
  </si>
  <si>
    <t>oQ0fJ6yI0</t>
  </si>
  <si>
    <t>rC2xF3wE7</t>
  </si>
  <si>
    <t>bE0jP0tQ6</t>
  </si>
  <si>
    <t>fR5iQ6iP5</t>
  </si>
  <si>
    <t>dQ6cK1pL6</t>
  </si>
  <si>
    <t>rQ2iR0qF2</t>
  </si>
  <si>
    <t>vB6fC7uB2</t>
  </si>
  <si>
    <t>yI3oN7tL1</t>
  </si>
  <si>
    <t>kA4oX0cS2</t>
  </si>
  <si>
    <t>hJ2yL7sJ2</t>
  </si>
  <si>
    <t>mF5yS8eN3</t>
  </si>
  <si>
    <t>vG4aU0sE1</t>
  </si>
  <si>
    <t>oD1gI7hF6</t>
  </si>
  <si>
    <t>sO3bT6dV8</t>
  </si>
  <si>
    <t>iW0nM7cH6</t>
  </si>
  <si>
    <t>vU2bU3wG6</t>
  </si>
  <si>
    <t>gO4xS5qL7</t>
  </si>
  <si>
    <t>nA5tT8kH8</t>
  </si>
  <si>
    <t>xN2bK6fJ6</t>
  </si>
  <si>
    <t>wL5sW8nL2</t>
  </si>
  <si>
    <t>tD2lK7bE1</t>
  </si>
  <si>
    <t>wG6vH6aQ6</t>
  </si>
  <si>
    <t>wF1eI1yK4</t>
  </si>
  <si>
    <t>oU4bR6sT1</t>
  </si>
  <si>
    <t>lL7hL3lL5</t>
  </si>
  <si>
    <t>qF0aI6hU5</t>
  </si>
  <si>
    <t>mI3bT3oM1</t>
  </si>
  <si>
    <t>mX6mC4uR6</t>
  </si>
  <si>
    <t>tJ1uG1mP5</t>
  </si>
  <si>
    <t>jG1dA0cW8</t>
  </si>
  <si>
    <t>oO0eF3lH7</t>
  </si>
  <si>
    <t>kW1pD6jT8</t>
  </si>
  <si>
    <t>hN0lQ8xV4</t>
  </si>
  <si>
    <t>yY7oK3nL1</t>
  </si>
  <si>
    <t>pY7mT5nF5</t>
  </si>
  <si>
    <t>lW4gG1jS4</t>
  </si>
  <si>
    <t>lA7eX2uA1</t>
  </si>
  <si>
    <t>eP0cH0dN0</t>
  </si>
  <si>
    <t>yX8cU3kW5</t>
  </si>
  <si>
    <t>rR0sT5aB1</t>
  </si>
  <si>
    <t>jK0lH1cI8</t>
  </si>
  <si>
    <t>pA5bN4qF8</t>
  </si>
  <si>
    <t>jU1eH2lQ1</t>
  </si>
  <si>
    <t>xW6lX1gW0</t>
  </si>
  <si>
    <t>aF8lC0qE4</t>
  </si>
  <si>
    <t>jO3iG5rR7</t>
  </si>
  <si>
    <t>sI4iO7qM4</t>
  </si>
  <si>
    <t>sX0aV2yH4</t>
  </si>
  <si>
    <t>iG2hQ5nO1</t>
  </si>
  <si>
    <t>qX6bJ5uQ1</t>
  </si>
  <si>
    <t>iT1mO0oB6</t>
  </si>
  <si>
    <t>lW5wA3dC1</t>
  </si>
  <si>
    <t>qP1qO6fT8</t>
  </si>
  <si>
    <t>cN0wU0uT7</t>
  </si>
  <si>
    <t>iM0uI4cU8</t>
  </si>
  <si>
    <t>oT8lN1qF4</t>
  </si>
  <si>
    <t>rK3bH7xD2</t>
  </si>
  <si>
    <t>rV7qA1mN7</t>
  </si>
  <si>
    <t>rI5kL3bV3</t>
  </si>
  <si>
    <t>pC7gD1qS6</t>
  </si>
  <si>
    <t>kS7eT1aH4</t>
  </si>
  <si>
    <t>yO8yC1jJ3</t>
  </si>
  <si>
    <t>rC3wN3kM8</t>
  </si>
  <si>
    <t>rH7oO4nS8</t>
  </si>
  <si>
    <t>oC1gL7sE0</t>
  </si>
  <si>
    <t>yB5uE6iP2</t>
  </si>
  <si>
    <t>aE0yI7fR7</t>
  </si>
  <si>
    <t>lT5dY2bY5</t>
  </si>
  <si>
    <t>rH0vL4jG4</t>
  </si>
  <si>
    <t>oJ3oW4nB0</t>
  </si>
  <si>
    <t>kG5yG7uG7</t>
  </si>
  <si>
    <t>cF4gD3eH3</t>
  </si>
  <si>
    <t>aO3mK7jT2</t>
  </si>
  <si>
    <t>cX1dN7vS8</t>
  </si>
  <si>
    <t>bO4wV0qI0</t>
  </si>
  <si>
    <t>bM2mS0xR6</t>
  </si>
  <si>
    <t>mF2wE0uI7</t>
  </si>
  <si>
    <t>sR5sI1eY1</t>
  </si>
  <si>
    <t>lM0sV4rK3</t>
  </si>
  <si>
    <t>gD1aQ4jQ3</t>
  </si>
  <si>
    <t>cQ1rP7cK6</t>
  </si>
  <si>
    <t>kC0dL6xK1</t>
  </si>
  <si>
    <t>oO0xX5yT6</t>
  </si>
  <si>
    <t>pN5wQ4fN4</t>
  </si>
  <si>
    <t>hF6gK0bJ0</t>
  </si>
  <si>
    <t>gI7xK8bE3</t>
  </si>
  <si>
    <t>qL4cK7nF1</t>
  </si>
  <si>
    <t>fH3xK6gP2</t>
  </si>
  <si>
    <t>rL4tL6oT3</t>
  </si>
  <si>
    <t>vO8kM6wS1</t>
  </si>
  <si>
    <t>kV1rF7mS6</t>
  </si>
  <si>
    <t>vL7tU3vM5</t>
  </si>
  <si>
    <t>aF0cK4mJ8</t>
  </si>
  <si>
    <t>uM0kQ8wG2</t>
  </si>
  <si>
    <t>vI7cK8lC2</t>
  </si>
  <si>
    <t>rA8iY2qS8</t>
  </si>
  <si>
    <t>pW4cL8sX5</t>
  </si>
  <si>
    <t>gE6jW5uQ6</t>
  </si>
  <si>
    <t>bI5pD7xV3</t>
  </si>
  <si>
    <t>kH2lH7yV6</t>
  </si>
  <si>
    <t>lB0dF6bD5</t>
  </si>
  <si>
    <t>xH1sJ2iW0</t>
  </si>
  <si>
    <t>cN8tU8wI2</t>
  </si>
  <si>
    <t>nY6uY6uM7</t>
  </si>
  <si>
    <t>oI0fR1mN8</t>
  </si>
  <si>
    <t>cY7aL4iH4</t>
  </si>
  <si>
    <t>jS2vM4tK2</t>
  </si>
  <si>
    <t>eK5iG4aM7</t>
  </si>
  <si>
    <t>lX8tH7qT2</t>
  </si>
  <si>
    <t>pJ3gQ0rV5</t>
  </si>
  <si>
    <t>aT6xW7dY7</t>
  </si>
  <si>
    <t>wE6tA8tX2</t>
  </si>
  <si>
    <t>kL3gH0vP8</t>
  </si>
  <si>
    <t>oG3jF2wM1</t>
  </si>
  <si>
    <t>dY7eQ4mM1</t>
  </si>
  <si>
    <t>hM6gO3vU2</t>
  </si>
  <si>
    <t>oC4rC4kY3</t>
  </si>
  <si>
    <t>jR7aP4oB6</t>
  </si>
  <si>
    <t>jF8jE7kP8</t>
  </si>
  <si>
    <t>sN6tF7dW1</t>
  </si>
  <si>
    <t>nU3kY1tS1</t>
  </si>
  <si>
    <t>iD2vK1dA8</t>
  </si>
  <si>
    <t>aP1dT1hL2</t>
  </si>
  <si>
    <t>jD6jT5uJ0</t>
  </si>
  <si>
    <t>pO4vK8mD8</t>
  </si>
  <si>
    <t>vV4aT0tN1</t>
  </si>
  <si>
    <t>vY6rY1gO5</t>
  </si>
  <si>
    <t>kT7gI5gH5</t>
  </si>
  <si>
    <t>kL2uP8fU3</t>
  </si>
  <si>
    <t>rT7xP3qL6</t>
  </si>
  <si>
    <t>iC0uD7rW2</t>
  </si>
  <si>
    <t>vL7cS8nM7</t>
  </si>
  <si>
    <t>xV7tQ1cB6</t>
  </si>
  <si>
    <t>vY0kQ5pG4</t>
  </si>
  <si>
    <t>cB6qY6iY5</t>
  </si>
  <si>
    <t>cY6kS2qT1</t>
  </si>
  <si>
    <t>yU7tS6xH4</t>
  </si>
  <si>
    <t>cE2xG0uO4</t>
  </si>
  <si>
    <t>pV5xI1qU7</t>
  </si>
  <si>
    <t>yF6fJ5hQ6</t>
  </si>
  <si>
    <t>jB1yD7rV5</t>
  </si>
  <si>
    <t>jE8aF3xX4</t>
  </si>
  <si>
    <t>iC0oS5yQ8</t>
  </si>
  <si>
    <t>nM4xF1bV8</t>
  </si>
  <si>
    <t>nS0yM6nF1</t>
  </si>
  <si>
    <t>tA7pJ8wM5</t>
  </si>
  <si>
    <t>vJ2vS7bY1</t>
  </si>
  <si>
    <t>kG7cE7hC5</t>
  </si>
  <si>
    <t>hJ5hU8bS5</t>
  </si>
  <si>
    <t>aP0hR4rB1</t>
  </si>
  <si>
    <t>oH3pI6uO4</t>
  </si>
  <si>
    <t>cY0nL4gW4</t>
  </si>
  <si>
    <t>jG4sK0hY0</t>
  </si>
  <si>
    <t>bQ4lP0uD1</t>
  </si>
  <si>
    <t>jB2tP1mT2</t>
  </si>
  <si>
    <t>xI0vS8vG3</t>
  </si>
  <si>
    <t>nB7dE0gX2</t>
  </si>
  <si>
    <t>aS7dV5iY8</t>
  </si>
  <si>
    <t>bR6lW6yC4</t>
  </si>
  <si>
    <t>eX7kY1pX7</t>
  </si>
  <si>
    <t>pD4tF1rD2</t>
  </si>
  <si>
    <t>yN2vT7sY4</t>
  </si>
  <si>
    <t>iC2rW8nR7</t>
  </si>
  <si>
    <t>sM0sU2oS5</t>
  </si>
  <si>
    <t>bO7iH2pW1</t>
  </si>
  <si>
    <t>jF2hS8xP5</t>
  </si>
  <si>
    <t>bB7dQ3eQ2</t>
  </si>
  <si>
    <t>eT6fW6aQ1</t>
  </si>
  <si>
    <t>mO0cN5rS6</t>
  </si>
  <si>
    <t>wN2iL4sP7</t>
  </si>
  <si>
    <t>wV2oS7iS4</t>
  </si>
  <si>
    <t>iD8hK1wW3</t>
  </si>
  <si>
    <t>gF4iO5cC4</t>
  </si>
  <si>
    <t>eF6xL4jG2</t>
  </si>
  <si>
    <t>fA6yG7dF4</t>
  </si>
  <si>
    <t>iL2dJ7xO1</t>
  </si>
  <si>
    <t>rM6xX8yI7</t>
  </si>
  <si>
    <t>iW3mK6kD4</t>
  </si>
  <si>
    <t>sM6yV8wW2</t>
  </si>
  <si>
    <t>bK4rW8hM6</t>
  </si>
  <si>
    <t>bN3uN4fS1</t>
  </si>
  <si>
    <t>qX3pW6tN6</t>
  </si>
  <si>
    <t>bM4jA0lU4</t>
  </si>
  <si>
    <t>nT3oB6sM1</t>
  </si>
  <si>
    <t>rM2mP3kC7</t>
  </si>
  <si>
    <t>cE0uA0uO3</t>
  </si>
  <si>
    <t>rE8pM3xQ3</t>
  </si>
  <si>
    <t>mJ8xB6wC5</t>
  </si>
  <si>
    <t>rK1jL5tP3</t>
  </si>
  <si>
    <t>nW3aK3mY3</t>
  </si>
  <si>
    <t>fL3dW7fQ4</t>
  </si>
  <si>
    <t>nM6oO3xL3</t>
  </si>
  <si>
    <t>oW2wU6tP8</t>
  </si>
  <si>
    <t>dG8vX6bK4</t>
  </si>
  <si>
    <t>qE0lU7sU6</t>
  </si>
  <si>
    <t>nV6sU5oJ3</t>
  </si>
  <si>
    <t>eP4hS6mH2</t>
  </si>
  <si>
    <t>jO6kR2gY1</t>
  </si>
  <si>
    <t>hM1wQ5xV4</t>
  </si>
  <si>
    <t>oC7sH8iK2</t>
  </si>
  <si>
    <t>qU4hI7dW7</t>
  </si>
  <si>
    <t>tW4sH2wK0</t>
  </si>
  <si>
    <t>sL6rB0vQ3</t>
  </si>
  <si>
    <t>uJ0lT5qE7</t>
  </si>
  <si>
    <t>lE8bW2eX2</t>
  </si>
  <si>
    <t>hS5nQ8xS8</t>
  </si>
  <si>
    <t>gC1dH2uO6</t>
  </si>
  <si>
    <t>vT1lK2hO1</t>
  </si>
  <si>
    <t>aR0yD6rM6</t>
  </si>
  <si>
    <t>rR8qM2aP6</t>
  </si>
  <si>
    <t>pY8bK1vW2</t>
  </si>
  <si>
    <t>sA5wO1pD1</t>
  </si>
  <si>
    <t>wP6nN7hQ2</t>
  </si>
  <si>
    <t>jV3fO6jQ0</t>
  </si>
  <si>
    <t>vU7kP0yN5</t>
  </si>
  <si>
    <t>cB4rU5rW8</t>
  </si>
  <si>
    <t>xN0pS1dA0</t>
  </si>
  <si>
    <t>tM0fX2sJ4</t>
  </si>
  <si>
    <t>nS2pN8hJ4</t>
  </si>
  <si>
    <t>wP1dU6tI7</t>
  </si>
  <si>
    <t>xD5yR7pR8</t>
  </si>
  <si>
    <t>bI7eX0fV4</t>
  </si>
  <si>
    <t>sM3rB7jU5</t>
  </si>
  <si>
    <t>iM4oI3xS1</t>
  </si>
  <si>
    <t>fE8jQ7fH5</t>
  </si>
  <si>
    <t>xO8qM3lN1</t>
  </si>
  <si>
    <t>dY3cT0wU7</t>
  </si>
  <si>
    <t>uX6pE5qO4</t>
  </si>
  <si>
    <t>cS2fS0hU7</t>
  </si>
  <si>
    <t>sA7kX0sC3</t>
  </si>
  <si>
    <t>lR2gW1dS3</t>
  </si>
  <si>
    <t>lB1kK4tU2</t>
  </si>
  <si>
    <t>nL8yY7xU7</t>
  </si>
  <si>
    <t>lL7tJ4oA6</t>
  </si>
  <si>
    <t>dV0pA1gJ2</t>
  </si>
  <si>
    <t>qI6oH8rH7</t>
  </si>
  <si>
    <t>aM4hN6kH3</t>
  </si>
  <si>
    <t>dR3oK4oG4</t>
  </si>
  <si>
    <t>pF0vG1jR2</t>
  </si>
  <si>
    <t>pM3cG2wJ7</t>
  </si>
  <si>
    <t>kW4wF4iK5</t>
  </si>
  <si>
    <t>rF3aM5yN3</t>
  </si>
  <si>
    <t>mD3gA5lJ4</t>
  </si>
  <si>
    <t>iU7uT2hF7</t>
  </si>
  <si>
    <t>bU6eR4nB1</t>
  </si>
  <si>
    <t>nP4aI5uL5</t>
  </si>
  <si>
    <t>hI3fP2xY5</t>
  </si>
  <si>
    <t>fE0sN8mB8</t>
  </si>
  <si>
    <t>sO6bJ0sP8</t>
  </si>
  <si>
    <t>qG1eM8yA0</t>
  </si>
  <si>
    <t>tU1eV8oA0</t>
  </si>
  <si>
    <t>iI4rG0vM3</t>
  </si>
  <si>
    <t>jG4mN1vY2</t>
  </si>
  <si>
    <t>fB6cH3nK1</t>
  </si>
  <si>
    <t>cW7aD1xH6</t>
  </si>
  <si>
    <t>tN7mW2nO7</t>
  </si>
  <si>
    <t>vJ3nD3qF1</t>
  </si>
  <si>
    <t>jP8vE3pA3</t>
  </si>
  <si>
    <t>tI7oQ6mO0</t>
  </si>
  <si>
    <t>mS3qE2tQ7</t>
  </si>
  <si>
    <t>vE4mA8sN7</t>
  </si>
  <si>
    <t>fE6wA4bS8</t>
  </si>
  <si>
    <t>tK6yB2tT6</t>
  </si>
  <si>
    <t>aO4kR4nK2</t>
  </si>
  <si>
    <t>eB8bR0gY4</t>
  </si>
  <si>
    <t>eN1mD4gL6</t>
  </si>
  <si>
    <t>kV8dO8aM8</t>
  </si>
  <si>
    <t>lL0yN3iU7</t>
  </si>
  <si>
    <t>vJ3vC0eJ0</t>
  </si>
  <si>
    <t>lC4wB8uK2</t>
  </si>
  <si>
    <t>xD3gG8tR6</t>
  </si>
  <si>
    <t>sD4iV0cW2</t>
  </si>
  <si>
    <t>yN2vV6pP1</t>
  </si>
  <si>
    <t>tQ6gM8yB2</t>
  </si>
  <si>
    <t>uE1wU1mM2</t>
  </si>
  <si>
    <t>uU8hG3vV8</t>
  </si>
  <si>
    <t>bG5cY2lV2</t>
  </si>
  <si>
    <t>oR6sU5cK7</t>
  </si>
  <si>
    <t>qM8bH5hE0</t>
  </si>
  <si>
    <t>gQ0tE6qE5</t>
  </si>
  <si>
    <t>bU3yL4lS3</t>
  </si>
  <si>
    <t>dF1bR7jF2</t>
  </si>
  <si>
    <t>vE3vU7qQ7</t>
  </si>
  <si>
    <t>xE0pN6nW0</t>
  </si>
  <si>
    <t>xT1iY2aH0</t>
  </si>
  <si>
    <t>qS8tV5iU3</t>
  </si>
  <si>
    <t>xQ4gU0pL0</t>
  </si>
  <si>
    <t>sQ7nG8fX3</t>
  </si>
  <si>
    <t>dE1sI8iD4</t>
  </si>
  <si>
    <t>vY0pS6jT4</t>
  </si>
  <si>
    <t>yP4bR6nH6</t>
  </si>
  <si>
    <t>vJ2cF6tC5</t>
  </si>
  <si>
    <t>aW2xW3jA3</t>
  </si>
  <si>
    <t>mL4lH8lW7</t>
  </si>
  <si>
    <t>hD8oH5iX0</t>
  </si>
  <si>
    <t>nP2uV2dS3</t>
  </si>
  <si>
    <t>bU7bR0oG1</t>
  </si>
  <si>
    <t>jX3vQ6lW5</t>
  </si>
  <si>
    <t>gS7wP3lH2</t>
  </si>
  <si>
    <t>bH8jO4gG5</t>
  </si>
  <si>
    <t>wN3hT6oC3</t>
  </si>
  <si>
    <t>iJ7kW0jB8</t>
  </si>
  <si>
    <t>eD8iC3cX5</t>
  </si>
  <si>
    <t>eU5nD3pX2</t>
  </si>
  <si>
    <t>vD8mS6kP2</t>
  </si>
  <si>
    <t>eF8uN3iP5</t>
  </si>
  <si>
    <t>dL5qS7cR8</t>
  </si>
  <si>
    <t>cW4cI2jC2</t>
  </si>
  <si>
    <t>uG0fD5kD3</t>
  </si>
  <si>
    <t>xY5hO4mM8</t>
  </si>
  <si>
    <t>tS3tX4kJ3</t>
  </si>
  <si>
    <t>fY6oL0kQ2</t>
  </si>
  <si>
    <t>oY5uC1pW2</t>
  </si>
  <si>
    <t>uV7eW0lS7</t>
  </si>
  <si>
    <t>vD1cQ0yL5</t>
  </si>
  <si>
    <t>eM4jD5gB7</t>
  </si>
  <si>
    <t>yB2nR3lS8</t>
  </si>
  <si>
    <t>oM5hK0uY4</t>
  </si>
  <si>
    <t>tC4bG3tW1</t>
  </si>
  <si>
    <t>rR3sW8tK6</t>
  </si>
  <si>
    <t>fF6rO6fG6</t>
  </si>
  <si>
    <t>sS6aG3hR0</t>
  </si>
  <si>
    <t>hB5gD3nY5</t>
  </si>
  <si>
    <t>cK1nP2mM4</t>
  </si>
  <si>
    <t>rO5bG7bO5</t>
  </si>
  <si>
    <t>rV5tB2dM8</t>
  </si>
  <si>
    <t>rK0xO3oO8</t>
  </si>
  <si>
    <t>tQ6gL7cM8</t>
  </si>
  <si>
    <t>vO3tO2aN1</t>
  </si>
  <si>
    <t>nQ8vX7oD8</t>
  </si>
  <si>
    <t>uK3qB2mF5</t>
  </si>
  <si>
    <t>eI0eE7iF0</t>
  </si>
  <si>
    <t>dJ6eL7sG8</t>
  </si>
  <si>
    <t>lU6vC5nE6</t>
  </si>
  <si>
    <t>gH1pD8oS7</t>
  </si>
  <si>
    <t>gR8vM3lH7</t>
  </si>
  <si>
    <t>lM0oL1uF6</t>
  </si>
  <si>
    <t>uE4uP8aA7</t>
  </si>
  <si>
    <t>iJ8kR4jQ7</t>
  </si>
  <si>
    <t>eL1hY7hK1</t>
  </si>
  <si>
    <t>xE1fQ8lQ6</t>
  </si>
  <si>
    <t>hW4hW7nM2</t>
  </si>
  <si>
    <t>iM0lH0oP7</t>
  </si>
  <si>
    <t>vN2eQ1mW4</t>
  </si>
  <si>
    <t>cA3xW5sU3</t>
  </si>
  <si>
    <t>wX4aB7nL8</t>
  </si>
  <si>
    <t>jQ4gI1sS8</t>
  </si>
  <si>
    <t>rA2wA7xP5</t>
  </si>
  <si>
    <t>tQ3aK0lG1</t>
  </si>
  <si>
    <t>cN1jG2bH5</t>
  </si>
  <si>
    <t>rE7kY1sL7</t>
  </si>
  <si>
    <t>yV4kD0kI7</t>
  </si>
  <si>
    <t>fK1vX3lV0</t>
  </si>
  <si>
    <t>fV4rK5kJ8</t>
  </si>
  <si>
    <t>oM3sT6cH2</t>
  </si>
  <si>
    <t>xM7rR2cP8</t>
  </si>
  <si>
    <t>jH3lE1vE5</t>
  </si>
  <si>
    <t>wW4aW5oW1</t>
  </si>
  <si>
    <t>nA5xN8uU4</t>
  </si>
  <si>
    <t>rL6kH0aG3</t>
  </si>
  <si>
    <t>pC3yM3oV3</t>
  </si>
  <si>
    <t>rB2jP3eF4</t>
  </si>
  <si>
    <t>tR2qW3uS3</t>
  </si>
  <si>
    <t>sU8bG4tA1</t>
  </si>
  <si>
    <t>vY3fE2iQ5</t>
  </si>
  <si>
    <t>fH2nN8gU6</t>
  </si>
  <si>
    <t>oM2eD7qN2</t>
  </si>
  <si>
    <t>hE5qE8eC0</t>
  </si>
  <si>
    <t>dR5wE2iV1</t>
  </si>
  <si>
    <t>yY7kC0kR7</t>
  </si>
  <si>
    <t>yO5uA1fU2</t>
  </si>
  <si>
    <t>fP5lP5qV1</t>
  </si>
  <si>
    <t>bT3oU8pP8</t>
  </si>
  <si>
    <t>jE7bT1gL0</t>
  </si>
  <si>
    <t>qK4jA1tH7</t>
  </si>
  <si>
    <t>eB8vM5kB7</t>
  </si>
  <si>
    <t>uK2yW4oY3</t>
  </si>
  <si>
    <t>fI8wI2tU1</t>
  </si>
  <si>
    <t>nX7pW2pF3</t>
  </si>
  <si>
    <t>hG5aB4rM0</t>
  </si>
  <si>
    <t>qP4sP2qI4</t>
  </si>
  <si>
    <t>mM7vA5tP4</t>
  </si>
  <si>
    <t>iQ0xY6fP2</t>
  </si>
  <si>
    <t>tT6iK2pR7</t>
  </si>
  <si>
    <t>jG0pV5nM1</t>
  </si>
  <si>
    <t>fD2hP1dL7</t>
  </si>
  <si>
    <t>dP5xN0gT0</t>
  </si>
  <si>
    <t>sG4tK6kK8</t>
  </si>
  <si>
    <t>fG1iF1aM0</t>
  </si>
  <si>
    <t>wB7kH0hT6</t>
  </si>
  <si>
    <t>qL6nN1hG4</t>
  </si>
  <si>
    <t>kU3aN1qA1</t>
  </si>
  <si>
    <t>nV8rL4kK8</t>
  </si>
  <si>
    <t>xP3pU3pY1</t>
  </si>
  <si>
    <t>gN1qW5yN4</t>
  </si>
  <si>
    <t>yS3nD8yH8</t>
  </si>
  <si>
    <t>yO5yB6dB5</t>
  </si>
  <si>
    <t>pM0cD7rS4</t>
  </si>
  <si>
    <t>uK6aG0yE5</t>
  </si>
  <si>
    <t>aR1nN0oG0</t>
  </si>
  <si>
    <t>vU3jD6fG1</t>
  </si>
  <si>
    <t>rU1sY8hD0</t>
  </si>
  <si>
    <t>tY1yB8kA5</t>
  </si>
  <si>
    <t>bD7kX1lE2</t>
  </si>
  <si>
    <t>lM5pW3lM5</t>
  </si>
  <si>
    <t>qL8xR5eT5</t>
  </si>
  <si>
    <t>kY1pM5bI8</t>
  </si>
  <si>
    <t>yK7vU1gJ3</t>
  </si>
  <si>
    <t>uK6lY5xT8</t>
  </si>
  <si>
    <t>sD8dC4kO2</t>
  </si>
  <si>
    <t>jM6kD0hC7</t>
  </si>
  <si>
    <t>lM1jR8kX4</t>
  </si>
  <si>
    <t>qK5eT8gC4</t>
  </si>
  <si>
    <t>gY5nA0oG6</t>
  </si>
  <si>
    <t>mO1hQ1oF0</t>
  </si>
  <si>
    <t>vE5lI2aI7</t>
  </si>
  <si>
    <t>nH1yV7yO0</t>
  </si>
  <si>
    <t>cI1tD2dX4</t>
  </si>
  <si>
    <t>lY5vW7xI1</t>
  </si>
  <si>
    <t>uI0rV7mH6</t>
  </si>
  <si>
    <t>tH3nE3mW7</t>
  </si>
  <si>
    <t>iM6aW8oH0</t>
  </si>
  <si>
    <t>dY1vP8yI2</t>
  </si>
  <si>
    <t>mG2sS4dI7</t>
  </si>
  <si>
    <t>dF6yI4qI7</t>
  </si>
  <si>
    <t>mK8bQ7iT1</t>
  </si>
  <si>
    <t>mW0wT1gV4</t>
  </si>
  <si>
    <t>xM5aO0fY2</t>
  </si>
  <si>
    <t>dG5vL4hI3</t>
  </si>
  <si>
    <t>tC1aB6kP5</t>
  </si>
  <si>
    <t>xL8jX6jA0</t>
  </si>
  <si>
    <t>bA4sQ4sT3</t>
  </si>
  <si>
    <t>mB3gJ2dA2</t>
  </si>
  <si>
    <t>pI8iQ5kW8</t>
  </si>
  <si>
    <t>bH1wC0fX5</t>
  </si>
  <si>
    <t>dM5wR8rB1</t>
  </si>
  <si>
    <t>kI0rS7aT2</t>
  </si>
  <si>
    <t>cG2jN6bG8</t>
  </si>
  <si>
    <t>mA2dR1hL8</t>
  </si>
  <si>
    <t>qR2qQ3aQ3</t>
  </si>
  <si>
    <t>xP8hY2lY8</t>
  </si>
  <si>
    <t>xS7bP8oM4</t>
  </si>
  <si>
    <t>rV3gE4eV1</t>
  </si>
  <si>
    <t>aU6aD2oE8</t>
  </si>
  <si>
    <t>fE7vJ7oK1</t>
  </si>
  <si>
    <t>mH3iO3jO7</t>
  </si>
  <si>
    <t>hR5eE6aV6</t>
  </si>
  <si>
    <t>oP4vS1jV7</t>
  </si>
  <si>
    <t>iQ8rR0sI6</t>
  </si>
  <si>
    <t>sR5uR7hA8</t>
  </si>
  <si>
    <t>eX3oQ3gS6</t>
  </si>
  <si>
    <t>kS5nI8xI0</t>
  </si>
  <si>
    <t>rY7pG6bL0</t>
  </si>
  <si>
    <t>vY4uO6hK8</t>
  </si>
  <si>
    <t>dA0jV4nF4</t>
  </si>
  <si>
    <t>bS8wR5lJ4</t>
  </si>
  <si>
    <t>kY2lX6dK5</t>
  </si>
  <si>
    <t>nL4oJ4hT5</t>
  </si>
  <si>
    <t>mT2eR4aX2</t>
  </si>
  <si>
    <t>hP1tN0fD6</t>
  </si>
  <si>
    <t>uI8mU2tJ6</t>
  </si>
  <si>
    <t>dJ8hG5lN2</t>
  </si>
  <si>
    <t>uN0fS2yX7</t>
  </si>
  <si>
    <t>yA1xP6yQ7</t>
  </si>
  <si>
    <t>hY5tW7oL3</t>
  </si>
  <si>
    <t>dQ5uM6aQ2</t>
  </si>
  <si>
    <t>qM2oL3bY7</t>
  </si>
  <si>
    <t>kL0gU4bN5</t>
  </si>
  <si>
    <t>jH4hB8cO4</t>
  </si>
  <si>
    <t>lA8hI3vH8</t>
  </si>
  <si>
    <t>bR4aS7nY5</t>
  </si>
  <si>
    <t>iU0dY3wS0</t>
  </si>
  <si>
    <t>rL7bD4lT3</t>
  </si>
  <si>
    <t>qY6aJ2mN1</t>
  </si>
  <si>
    <t>wC2xT6gO6</t>
  </si>
  <si>
    <t>hD1nU6yE6</t>
  </si>
  <si>
    <t>fU3yE3nH6</t>
  </si>
  <si>
    <t>jT4bP1cV3</t>
  </si>
  <si>
    <t>eY4gV3xJ5</t>
  </si>
  <si>
    <t>jO3jE1bU0</t>
  </si>
  <si>
    <t>nX1dT7bX7</t>
  </si>
  <si>
    <t>aP1aR0sK7</t>
  </si>
  <si>
    <t>mS3yO7bE7</t>
  </si>
  <si>
    <t>pG7aJ8bX6</t>
  </si>
  <si>
    <t>uM8xG1uC8</t>
  </si>
  <si>
    <t>iA2hR0cG5</t>
  </si>
  <si>
    <t>vA3cR4mP1</t>
  </si>
  <si>
    <t>oM4wP1hO2</t>
  </si>
  <si>
    <t>tP3sU3yV4</t>
  </si>
  <si>
    <t>lO8wX3bS7</t>
  </si>
  <si>
    <t>mQ2pP5wC4</t>
  </si>
  <si>
    <t>gQ0uD8oJ4</t>
  </si>
  <si>
    <t>yI7aN1yI0</t>
  </si>
  <si>
    <t>pL6aT3vE0</t>
  </si>
  <si>
    <t>sD8bK6aW7</t>
  </si>
  <si>
    <t>eL3aC2sP7</t>
  </si>
  <si>
    <t>kU1sC6iE8</t>
  </si>
  <si>
    <t>aS6bJ6vJ5</t>
  </si>
  <si>
    <t>wF6gT3sF5</t>
  </si>
  <si>
    <t>qO6jT4jW1</t>
  </si>
  <si>
    <t>hC4vO3hT4</t>
  </si>
  <si>
    <t>yA0aS4eH2</t>
  </si>
  <si>
    <t>uG3xP6eC0</t>
  </si>
  <si>
    <t>xE6vW0cO8</t>
  </si>
  <si>
    <t>mK3uY1tV0</t>
  </si>
  <si>
    <t>fC7fB1lV8</t>
  </si>
  <si>
    <t>xS5eG6gD6</t>
  </si>
  <si>
    <t>fX1tE4kV8</t>
  </si>
  <si>
    <t>bY0nY7rP4</t>
  </si>
  <si>
    <t>qA5wI1fR0</t>
  </si>
  <si>
    <t>aU4fQ8pO6</t>
  </si>
  <si>
    <t>pL7eR7hH7</t>
  </si>
  <si>
    <t>bW6iQ7pH0</t>
  </si>
  <si>
    <t>nC4bB0cM5</t>
  </si>
  <si>
    <t>yO1kW2sG8</t>
  </si>
  <si>
    <t>gT8eD1fX0</t>
  </si>
  <si>
    <t>kK1xB4uJ1</t>
  </si>
  <si>
    <t>rB8aD8wM4</t>
  </si>
  <si>
    <t>fB5mQ7yJ0</t>
  </si>
  <si>
    <t>xR1eD3eG8</t>
  </si>
  <si>
    <t>lC7eX4kC2</t>
  </si>
  <si>
    <t>dU1bH7pG5</t>
  </si>
  <si>
    <t>iP0xH5bP2</t>
  </si>
  <si>
    <t>cR3gE8tY1</t>
  </si>
  <si>
    <t>vB6aA0hR1</t>
  </si>
  <si>
    <t>xL1vY7qH6</t>
  </si>
  <si>
    <t>eY2jX5aA8</t>
  </si>
  <si>
    <t>jS4tV7nY7</t>
  </si>
  <si>
    <t>cG7qG5wO7</t>
  </si>
  <si>
    <t>tG7sK2uN4</t>
  </si>
  <si>
    <t>eT7kC8wO2</t>
  </si>
  <si>
    <t>vL4tV6gW6</t>
  </si>
  <si>
    <t>dA3lL0vL5</t>
  </si>
  <si>
    <t>pY0tK4nD0</t>
  </si>
  <si>
    <t>sN1oT7xB3</t>
  </si>
  <si>
    <t>cO3fO2kG4</t>
  </si>
  <si>
    <t>bM7kY8lO6</t>
  </si>
  <si>
    <t>qS0xW2tC2</t>
  </si>
  <si>
    <t>sM2lA8yJ0</t>
  </si>
  <si>
    <t>aL7rI8nA6</t>
  </si>
  <si>
    <t>yL4nC1aP8</t>
  </si>
  <si>
    <t>sR6nE3dC4</t>
  </si>
  <si>
    <t>pL1aK2hH2</t>
  </si>
  <si>
    <t>eI1fX8aR6</t>
  </si>
  <si>
    <t>tL7hF8bA2</t>
  </si>
  <si>
    <t>uF8qS3nD1</t>
  </si>
  <si>
    <t>kC8jH5fE5</t>
  </si>
  <si>
    <t>aM1eB6lV4</t>
  </si>
  <si>
    <t>vV8xE6yR8</t>
  </si>
  <si>
    <t>cJ3sB6kQ2</t>
  </si>
  <si>
    <t>aV5gL5pV0</t>
  </si>
  <si>
    <t>lS3qS0iU3</t>
  </si>
  <si>
    <t>fV0dY5eI1</t>
  </si>
  <si>
    <t>wN3mP2iC2</t>
  </si>
  <si>
    <t>gX4kM0pW6</t>
  </si>
  <si>
    <t>pM4kT6qD3</t>
  </si>
  <si>
    <t>yY1pB7kK0</t>
  </si>
  <si>
    <t>oJ8fD3mH2</t>
  </si>
  <si>
    <t>aI1xE8hK7</t>
  </si>
  <si>
    <t>dR0lA8bW2</t>
  </si>
  <si>
    <t>iK1eJ1sQ5</t>
  </si>
  <si>
    <t>eH2rB5tX4</t>
  </si>
  <si>
    <t>vL5oW4qS3</t>
  </si>
  <si>
    <t>tV7cF0eM4</t>
  </si>
  <si>
    <t>bY3jL1tO3</t>
  </si>
  <si>
    <t>oI8xN1vB8</t>
  </si>
  <si>
    <t>iX3iU7qR1</t>
  </si>
  <si>
    <t>bP6mK2iP5</t>
  </si>
  <si>
    <t>bO0uK6kU6</t>
  </si>
  <si>
    <t>bQ3tB1yC5</t>
  </si>
  <si>
    <t>yC2jU2yG7</t>
  </si>
  <si>
    <t>iK7lH4oX0</t>
  </si>
  <si>
    <t>lV8mU0pD0</t>
  </si>
  <si>
    <t>tJ0oM3eJ5</t>
  </si>
  <si>
    <t>nV8hR8iI5</t>
  </si>
  <si>
    <t>iT3jD1yV2</t>
  </si>
  <si>
    <t>sP1vG5uX6</t>
  </si>
  <si>
    <t>hR4cN7cD6</t>
  </si>
  <si>
    <t>lS5aJ0qG2</t>
  </si>
  <si>
    <t>iH8oI2mT2</t>
  </si>
  <si>
    <t>xG8qQ0dH0</t>
  </si>
  <si>
    <t>pN5sM7vO8</t>
  </si>
  <si>
    <t>uQ4dJ3oR6</t>
  </si>
  <si>
    <t>wM1lX0nY5</t>
  </si>
  <si>
    <t>iU4mV2wL3</t>
  </si>
  <si>
    <t>yV6eG1fM4</t>
  </si>
  <si>
    <t>rA3dJ1vI4</t>
  </si>
  <si>
    <t>gJ0aF1cE3</t>
  </si>
  <si>
    <t>xC6gJ3wX0</t>
  </si>
  <si>
    <t>mW5pC5qY7</t>
  </si>
  <si>
    <t>fO4sU7vX5</t>
  </si>
  <si>
    <t>gO3eT0oU0</t>
  </si>
  <si>
    <t>nJ1lP8wV8</t>
  </si>
  <si>
    <t>kK2oW6vL4</t>
  </si>
  <si>
    <t>xQ0xQ8qK2</t>
  </si>
  <si>
    <t>jX5uP0lK5</t>
  </si>
  <si>
    <t>wM5sH5hY2</t>
  </si>
  <si>
    <t>mB0sO2xY5</t>
  </si>
  <si>
    <t>kQ3fD4yS1</t>
  </si>
  <si>
    <t>uM4vT0sM1</t>
  </si>
  <si>
    <t>cB7mN6yG7</t>
  </si>
  <si>
    <t>bI0nW0tJ7</t>
  </si>
  <si>
    <t>yL3pK2jA0</t>
  </si>
  <si>
    <t>uI4iP2uK7</t>
  </si>
  <si>
    <t>eO2hD4iV4</t>
  </si>
  <si>
    <t>cF7vS5vH2</t>
  </si>
  <si>
    <t>dK6cA5fL8</t>
  </si>
  <si>
    <t>oS5fG4pA8</t>
  </si>
  <si>
    <t>sX5mC6iY5</t>
  </si>
  <si>
    <t>pS5qT0uM6</t>
  </si>
  <si>
    <t>eW4aT0qV6</t>
  </si>
  <si>
    <t>eP0nO0bL3</t>
  </si>
  <si>
    <t>bM2cU7vR1</t>
  </si>
  <si>
    <t>nL5nL0nG6</t>
  </si>
  <si>
    <t>kE1eW8bC6</t>
  </si>
  <si>
    <t>tF7vU5hG0</t>
  </si>
  <si>
    <t>oC6vM5kU8</t>
  </si>
  <si>
    <t>rU5lI4qV3</t>
  </si>
  <si>
    <t>jF5sB0eX7</t>
  </si>
  <si>
    <t>nQ3rP3pX6</t>
  </si>
  <si>
    <t>hL4oU5xQ0</t>
  </si>
  <si>
    <t>tK2yY8jO4</t>
  </si>
  <si>
    <t>yH8fR4fU3</t>
  </si>
  <si>
    <t>eF5oX5sO4</t>
  </si>
  <si>
    <t>yL0uX0mI5</t>
  </si>
  <si>
    <t>vG5dE0xV6</t>
  </si>
  <si>
    <t>tR4dH8lV8</t>
  </si>
  <si>
    <t>vR8gH4yD8</t>
  </si>
  <si>
    <t>fX8jO0oL6</t>
  </si>
  <si>
    <t>nK7eN3jP1</t>
  </si>
  <si>
    <t>rV2cH0fI0</t>
  </si>
  <si>
    <t>hM0bN6fW4</t>
  </si>
  <si>
    <t>iE2jS2fJ3</t>
  </si>
  <si>
    <t>pA8mB3bR6</t>
  </si>
  <si>
    <t>eP7uI3hB4</t>
  </si>
  <si>
    <t>uD5nP4eQ8</t>
  </si>
  <si>
    <t>gC3aU0cT5</t>
  </si>
  <si>
    <t>fM0iM1sS8</t>
  </si>
  <si>
    <t>vS4kN0kI6</t>
  </si>
  <si>
    <t>oW8lD7eX8</t>
  </si>
  <si>
    <t>fD4oP1oC0</t>
  </si>
  <si>
    <t>yF2nI8dN0</t>
  </si>
  <si>
    <t>mW0tE8yF1</t>
  </si>
  <si>
    <t>hF5oV7qI5</t>
  </si>
  <si>
    <t>hL3qV1sV8</t>
  </si>
  <si>
    <t>tH2eU6fT0</t>
  </si>
  <si>
    <t>kF5uC6tN4</t>
  </si>
  <si>
    <t>jD3oJ8pB1</t>
  </si>
  <si>
    <t>eG6bB3xR5</t>
  </si>
  <si>
    <t>sV0vP6wL3</t>
  </si>
  <si>
    <t>tM0xF0iE1</t>
  </si>
  <si>
    <t>vH4vB4dP3</t>
  </si>
  <si>
    <t>pO2gI3fP4</t>
  </si>
  <si>
    <t>hB4pU8cM7</t>
  </si>
  <si>
    <t>kY2iQ1fN0</t>
  </si>
  <si>
    <t>iS0gG5qL5</t>
  </si>
  <si>
    <t>xG0rI0uD1</t>
  </si>
  <si>
    <t>bY4fR2rW5</t>
  </si>
  <si>
    <t>oX0jU7mG5</t>
  </si>
  <si>
    <t>oX1lH4hM0</t>
  </si>
  <si>
    <t>pK8dX1tM1</t>
  </si>
  <si>
    <t>xL6yU3uB4</t>
  </si>
  <si>
    <t>wL5gH3iY3</t>
  </si>
  <si>
    <t>mN0vT8aX8</t>
  </si>
  <si>
    <t>nU6qS4wB6</t>
  </si>
  <si>
    <t>mL8oG8tB8</t>
  </si>
  <si>
    <t>dD0sQ7nO8</t>
  </si>
  <si>
    <t>nH6aU4xX2</t>
  </si>
  <si>
    <t>gR1hM6dX0</t>
  </si>
  <si>
    <t>wE6lK6bB2</t>
  </si>
  <si>
    <t>nH8wP7lN6</t>
  </si>
  <si>
    <t>aI0uQ6sE0</t>
  </si>
  <si>
    <t>hO8wM0hT8</t>
  </si>
  <si>
    <t>mI0kB8yM2</t>
  </si>
  <si>
    <t>aF2mS7yX8</t>
  </si>
  <si>
    <t>oV5aI6bH6</t>
  </si>
  <si>
    <t>hI6bV7nF4</t>
  </si>
  <si>
    <t>nO6aF3rO4</t>
  </si>
  <si>
    <t>eW8aL6lE2</t>
  </si>
  <si>
    <t>kM8vR8dI6</t>
  </si>
  <si>
    <t>lG0uC7gB7</t>
  </si>
  <si>
    <t>vX2cM5mC8</t>
  </si>
  <si>
    <t>yG5cI4fL7</t>
  </si>
  <si>
    <t>aJ8eH0dF2</t>
  </si>
  <si>
    <t>iS1dP0cE3</t>
  </si>
  <si>
    <t>iH6dP3aX6</t>
  </si>
  <si>
    <t>sT5tV6nW3</t>
  </si>
  <si>
    <t>bB6cM5mO8</t>
  </si>
  <si>
    <t>yV8rW1qP8</t>
  </si>
  <si>
    <t>vD6pA4hD7</t>
  </si>
  <si>
    <t>tD8sV2nO2</t>
  </si>
  <si>
    <t>tF2tY5kB1</t>
  </si>
  <si>
    <t>bS4pC3kM8</t>
  </si>
  <si>
    <t>jK7rG5vJ2</t>
  </si>
  <si>
    <t>lG6tB6vN0</t>
  </si>
  <si>
    <t>bC1fL2yO5</t>
  </si>
  <si>
    <t>tT8kC0vW2</t>
  </si>
  <si>
    <t>fI8vG7eA1</t>
  </si>
  <si>
    <t>rB3gA0lN3</t>
  </si>
  <si>
    <t>bO8yT6mI4</t>
  </si>
  <si>
    <t>gK5uH0wK7</t>
  </si>
  <si>
    <t>jM4bJ1wD4</t>
  </si>
  <si>
    <t>eC3oO2mF3</t>
  </si>
  <si>
    <t>dA2rP5mP7</t>
  </si>
  <si>
    <t>jB6cM0cN0</t>
  </si>
  <si>
    <t>uG1vK7cI4</t>
  </si>
  <si>
    <t>rP2qD7wV6</t>
  </si>
  <si>
    <t>nQ4nG2jH8</t>
  </si>
  <si>
    <t>yO2kQ6tV2</t>
  </si>
  <si>
    <t>sW0vF1pU3</t>
  </si>
  <si>
    <t>rN3vR3rL1</t>
  </si>
  <si>
    <t>vT7fA0eT7</t>
  </si>
  <si>
    <t>bH6sI1nC8</t>
  </si>
  <si>
    <t>pE8pE6nX4</t>
  </si>
  <si>
    <t>wU7mR1rH6</t>
  </si>
  <si>
    <t>cG4rS5aX2</t>
  </si>
  <si>
    <t>nE2cR1mI0</t>
  </si>
  <si>
    <t>wN8mS5eT2</t>
  </si>
  <si>
    <t>dU2hO2mW0</t>
  </si>
  <si>
    <t>oV6dU7oJ7</t>
  </si>
  <si>
    <t>eT0sX6bD1</t>
  </si>
  <si>
    <t>fQ5qO4xJ5</t>
  </si>
  <si>
    <t>mS2kY6iG1</t>
  </si>
  <si>
    <t>rW0kD1wV3</t>
  </si>
  <si>
    <t>fW1bA3yI3</t>
  </si>
  <si>
    <t>cA6vR3iF5</t>
  </si>
  <si>
    <t>lA4dQ8fJ8</t>
  </si>
  <si>
    <t>eU1hB8xT0</t>
  </si>
  <si>
    <t>kH6dH5wJ4</t>
  </si>
  <si>
    <t>gO7jR8bW3</t>
  </si>
  <si>
    <t>iQ8lJ2sM7</t>
  </si>
  <si>
    <t>lQ1cK3hU6</t>
  </si>
  <si>
    <t>tH8uG0nM8</t>
  </si>
  <si>
    <t>dX4cQ0uB2</t>
  </si>
  <si>
    <t>bP0fL6bJ8</t>
  </si>
  <si>
    <t>gM3aQ1uI4</t>
  </si>
  <si>
    <t>uM4aR5jU1</t>
  </si>
  <si>
    <t>qH4wO1tA0</t>
  </si>
  <si>
    <t>oW4wR2tD0</t>
  </si>
  <si>
    <t>bL6bV2sX2</t>
  </si>
  <si>
    <t>kG8cX0tU6</t>
  </si>
  <si>
    <t>jD1kP3tM7</t>
  </si>
  <si>
    <t>dX1cD5hM4</t>
  </si>
  <si>
    <t>tW4aJ0mE0</t>
  </si>
  <si>
    <t>iN5rE2iN2</t>
  </si>
  <si>
    <t>qE3hB5uP4</t>
  </si>
  <si>
    <t>hH0sM7eP5</t>
  </si>
  <si>
    <t>lB0sP7vD4</t>
  </si>
  <si>
    <t>gC5iB8dW3</t>
  </si>
  <si>
    <t>rT8rO7wJ8</t>
  </si>
  <si>
    <t>wJ5qB5yY1</t>
  </si>
  <si>
    <t>bK4jB1nJ2</t>
  </si>
  <si>
    <t>aT4yE1qW1</t>
  </si>
  <si>
    <t>tG0qT2hG5</t>
  </si>
  <si>
    <t>bG7lJ4oA1</t>
  </si>
  <si>
    <t>kF5tI5wR8</t>
  </si>
  <si>
    <t>dD0aH5qR6</t>
  </si>
  <si>
    <t>gH1hN3sJ2</t>
  </si>
  <si>
    <t>sO5qV5pD2</t>
  </si>
  <si>
    <t>xM7jG7lN0</t>
  </si>
  <si>
    <t>nQ2aK0oN8</t>
  </si>
  <si>
    <t>oP5jI0hO2</t>
  </si>
  <si>
    <t>uN4iT4cW7</t>
  </si>
  <si>
    <t>fL7gT4sL3</t>
  </si>
  <si>
    <t>tV7hI5nA6</t>
  </si>
  <si>
    <t>bS3oE0pF1</t>
  </si>
  <si>
    <t>bY6mD4hC4</t>
  </si>
  <si>
    <t>bA4gC8hM5</t>
  </si>
  <si>
    <t>lK6mE3aU8</t>
  </si>
  <si>
    <t>xL7hM6dJ2</t>
  </si>
  <si>
    <t>kW1xA7tJ8</t>
  </si>
  <si>
    <t>tQ8cO8oR1</t>
  </si>
  <si>
    <t>jX4dK1vR6</t>
  </si>
  <si>
    <t>nD1tG0qD0</t>
  </si>
  <si>
    <t>mC7aN2yT5</t>
  </si>
  <si>
    <t>aA6sK3bW8</t>
  </si>
  <si>
    <t>vJ2rQ3mU4</t>
  </si>
  <si>
    <t>nS7fW5lV2</t>
  </si>
  <si>
    <t>yN7aP8eD5</t>
  </si>
  <si>
    <t>wG8wL5vQ8</t>
  </si>
  <si>
    <t>eP0cV0vN1</t>
  </si>
  <si>
    <t>dY1uB8lM5</t>
  </si>
  <si>
    <t>dB1bN4lG2</t>
  </si>
  <si>
    <t>eU0wX6kI1</t>
  </si>
  <si>
    <t>qL5gH7vB6</t>
  </si>
  <si>
    <t>xE8wC0eG7</t>
  </si>
  <si>
    <t>nY5yT3pM4</t>
  </si>
  <si>
    <t>dW4jG0dD4</t>
  </si>
  <si>
    <t>vM5nI2mU5</t>
  </si>
  <si>
    <t>qY3cW7lD1</t>
  </si>
  <si>
    <t>wX1dP8eD5</t>
  </si>
  <si>
    <t>cY4cW1jW5</t>
  </si>
  <si>
    <t>vS3sU7kT2</t>
  </si>
  <si>
    <t>bB6sM7kH7</t>
  </si>
  <si>
    <t>bT2aL6yJ4</t>
  </si>
  <si>
    <t>hY7pO7vN3</t>
  </si>
  <si>
    <t>kN4rR8fB2</t>
  </si>
  <si>
    <t>tM4wM1fI5</t>
  </si>
  <si>
    <t>fV6eW6yK2</t>
  </si>
  <si>
    <t>yK1xA8iF1</t>
  </si>
  <si>
    <t>uM6wW1sW2</t>
  </si>
  <si>
    <t>mE1qI7uH1</t>
  </si>
  <si>
    <t>jN7hM3vQ0</t>
  </si>
  <si>
    <t>xC6mY8uA0</t>
  </si>
  <si>
    <t>tY5uS5cD0</t>
  </si>
  <si>
    <t>eQ6aB4pJ5</t>
  </si>
  <si>
    <t>lS6sY7wA4</t>
  </si>
  <si>
    <t>fW2bL1xD6</t>
  </si>
  <si>
    <t>oQ1gU1cY6</t>
  </si>
  <si>
    <t>kV5cK3pM4</t>
  </si>
  <si>
    <t>tW4sR0hJ8</t>
  </si>
  <si>
    <t>yQ4oM6yK0</t>
  </si>
  <si>
    <t>tF2eI4xL5</t>
  </si>
  <si>
    <t>pQ1mS7wH8</t>
  </si>
  <si>
    <t>yW4oM2jE3</t>
  </si>
  <si>
    <t>mK1eG6wM5</t>
  </si>
  <si>
    <t>eB2kB3fK6</t>
  </si>
  <si>
    <t>lP6yI7rD8</t>
  </si>
  <si>
    <t>jA7kR7wU4</t>
  </si>
  <si>
    <t>wN5rG2uH0</t>
  </si>
  <si>
    <t>rH5iG6jI4</t>
  </si>
  <si>
    <t>xB7mJ4xC7</t>
  </si>
  <si>
    <t>uH8lA7uR2</t>
  </si>
  <si>
    <t>sU1iK0vJ6</t>
  </si>
  <si>
    <t>oA2dD5nQ0</t>
  </si>
  <si>
    <t>fJ3hS7jX8</t>
  </si>
  <si>
    <t>aL1dR2bW5</t>
  </si>
  <si>
    <t>oM0sV8mP2</t>
  </si>
  <si>
    <t>oO7mN6jN4</t>
  </si>
  <si>
    <t>lR6hM3yL8</t>
  </si>
  <si>
    <t>rI8kT2hS2</t>
  </si>
  <si>
    <t>jC3uR5sJ0</t>
  </si>
  <si>
    <t>yL4iI5hX3</t>
  </si>
  <si>
    <t>lH0cO0jS6</t>
  </si>
  <si>
    <t>sF1vF6eK5</t>
  </si>
  <si>
    <t>tL7qR6wL6</t>
  </si>
  <si>
    <t>tB6tA7bD0</t>
  </si>
  <si>
    <t>xX2hX4rU1</t>
  </si>
  <si>
    <t>wE6yU1kG6</t>
  </si>
  <si>
    <t>oT1nW1rO2</t>
  </si>
  <si>
    <t>xH1kD3jL6</t>
  </si>
  <si>
    <t>fE3rJ3jH3</t>
  </si>
  <si>
    <t>tY0hX2eO2</t>
  </si>
  <si>
    <t>hT6jP1wQ7</t>
  </si>
  <si>
    <t>wU4lG1lC8</t>
  </si>
  <si>
    <t>jW5jB5sC4</t>
  </si>
  <si>
    <t>aG1kT2oS6</t>
  </si>
  <si>
    <t>vB1iK7mY1</t>
  </si>
  <si>
    <t>sK2wF8gG7</t>
  </si>
  <si>
    <t>nY6jI4cH5</t>
  </si>
  <si>
    <t>wW8jY0kP4</t>
  </si>
  <si>
    <t>aO8xE6yP4</t>
  </si>
  <si>
    <t>hO4lT6xO2</t>
  </si>
  <si>
    <t>xQ2dY1qF3</t>
  </si>
  <si>
    <t>bJ7rV4hW0</t>
  </si>
  <si>
    <t>bT5tG4jV7</t>
  </si>
  <si>
    <t>bX2fH6cS0</t>
  </si>
  <si>
    <t>yR6tD6tJ2</t>
  </si>
  <si>
    <t>eN2uE3nE0</t>
  </si>
  <si>
    <t>iC8pK4vD0</t>
  </si>
  <si>
    <t>wA2wD6hJ7</t>
  </si>
  <si>
    <t>uK6nS6sJ6</t>
  </si>
  <si>
    <t>bK7yJ6rY6</t>
  </si>
  <si>
    <t>iX0tY1kH3</t>
  </si>
  <si>
    <t>fY2jC8gM4</t>
  </si>
  <si>
    <t>hF6gE2bW0</t>
  </si>
  <si>
    <t>wW5gE5dG3</t>
  </si>
  <si>
    <t>vD0uV3eW7</t>
  </si>
  <si>
    <t>dU5hR0fO6</t>
  </si>
  <si>
    <t>kD6iI5vP5</t>
  </si>
  <si>
    <t>yI8kP3qH2</t>
  </si>
  <si>
    <t>mH7fW4oK1</t>
  </si>
  <si>
    <t>tV6xJ1rO8</t>
  </si>
  <si>
    <t>aF7sA0vH0</t>
  </si>
  <si>
    <t>wK5oN8kA6</t>
  </si>
  <si>
    <t>sG8sS1sI2</t>
  </si>
  <si>
    <t>aQ8cQ8lQ0</t>
  </si>
  <si>
    <t>aH1dY4lX4</t>
  </si>
  <si>
    <t>yM6sK6iG6</t>
  </si>
  <si>
    <t>fQ1vM8eV7</t>
  </si>
  <si>
    <t>nB1gR0tT2</t>
  </si>
  <si>
    <t>iK7jP2dV6</t>
  </si>
  <si>
    <t>aE4nK7yF0</t>
  </si>
  <si>
    <t>fY7hL0dC4</t>
  </si>
  <si>
    <t>cE0pI6jM2</t>
  </si>
  <si>
    <t>vY5yJ0tE3</t>
  </si>
  <si>
    <t>wI3lQ4yN6</t>
  </si>
  <si>
    <t>tC7jF1kT3</t>
  </si>
  <si>
    <t>kC1mO2fU4</t>
  </si>
  <si>
    <t>tC1tH1qX0</t>
  </si>
  <si>
    <t>eL5qC0wK3</t>
  </si>
  <si>
    <t>lK0aQ0vO1</t>
  </si>
  <si>
    <t>wL3hJ2wN0</t>
  </si>
  <si>
    <t>yL4yX7fT5</t>
  </si>
  <si>
    <t>jR5wG7qD8</t>
  </si>
  <si>
    <t>hP5bD6bG2</t>
  </si>
  <si>
    <t>rT3cF6nY6</t>
  </si>
  <si>
    <t>lA1rG3gG7</t>
  </si>
  <si>
    <t>kP2aG5fJ5</t>
  </si>
  <si>
    <t>cH6lA6gN4</t>
  </si>
  <si>
    <t>lG5aR5fB4</t>
  </si>
  <si>
    <t>vC6aL7kP6</t>
  </si>
  <si>
    <t>sF0dM4pP8</t>
  </si>
  <si>
    <t>gO8sD4cB3</t>
  </si>
  <si>
    <t>yU0xA5bN0</t>
  </si>
  <si>
    <t>jC1oK2aK4</t>
  </si>
  <si>
    <t>wT3wC5pH7</t>
  </si>
  <si>
    <t>rX8uP0xX6</t>
  </si>
  <si>
    <t>bC0tF0cH2</t>
  </si>
  <si>
    <t>tK8eD1vN6</t>
  </si>
  <si>
    <t>qE6pJ7qX6</t>
  </si>
  <si>
    <t>dE2oR1vC8</t>
  </si>
  <si>
    <t>gA1kG7sY0</t>
  </si>
  <si>
    <t>wT1dH5pW0</t>
  </si>
  <si>
    <t>dG7gC6fR8</t>
  </si>
  <si>
    <t>mA1cM4fI6</t>
  </si>
  <si>
    <t>xK7wR5dC8</t>
  </si>
  <si>
    <t>iV1mE8xD4</t>
  </si>
  <si>
    <t>dG6gK7xN2</t>
  </si>
  <si>
    <t>qA2fR7jF0</t>
  </si>
  <si>
    <t>bC2sC4lC5</t>
  </si>
  <si>
    <t>hG2rI0iK4</t>
  </si>
  <si>
    <t>qR0xY5rL4</t>
  </si>
  <si>
    <t>jI0bQ7jX1</t>
  </si>
  <si>
    <t>gY1eJ6cF1</t>
  </si>
  <si>
    <t>oV8vL3gA0</t>
  </si>
  <si>
    <t>hL3fD4sE3</t>
  </si>
  <si>
    <t>kY1aJ1vE2</t>
  </si>
  <si>
    <t>bB2uN4tG8</t>
  </si>
  <si>
    <t>tI6pH6kJ6</t>
  </si>
  <si>
    <t>fN0lM4nA6</t>
  </si>
  <si>
    <t>aW3nE5aM2</t>
  </si>
  <si>
    <t>qT8nK2vD2</t>
  </si>
  <si>
    <t>hF7kN6oL5</t>
  </si>
  <si>
    <t>xD5aF1fG4</t>
  </si>
  <si>
    <t>iK5iS4cT1</t>
  </si>
  <si>
    <t>jE5iA0lT8</t>
  </si>
  <si>
    <t>vP0nJ3hF0</t>
  </si>
  <si>
    <t>qI1bU6nK8</t>
  </si>
  <si>
    <t>pY2vP4cX5</t>
  </si>
  <si>
    <t>fF7yS4pA4</t>
  </si>
  <si>
    <t>pV2dQ3aL4</t>
  </si>
  <si>
    <t>gJ8pO3pT0</t>
  </si>
  <si>
    <t>iM8dN0dI8</t>
  </si>
  <si>
    <t>bV2yA3lN1</t>
  </si>
  <si>
    <t>tG0cA0kI1</t>
  </si>
  <si>
    <t>hN5cG1oV1</t>
  </si>
  <si>
    <t>fL2eN5mP7</t>
  </si>
  <si>
    <t>iW2sH8aX8</t>
  </si>
  <si>
    <t>uP5dP5fO0</t>
  </si>
  <si>
    <t>iL7eD6kK0</t>
  </si>
  <si>
    <t>aB7cD0oC5</t>
  </si>
  <si>
    <t>wJ4pN1nR4</t>
  </si>
  <si>
    <t>pK4dI7pV0</t>
  </si>
  <si>
    <t>vO0qP2oC7</t>
  </si>
  <si>
    <t>aH0yI1dV2</t>
  </si>
  <si>
    <t>bB7fP4xC8</t>
  </si>
  <si>
    <t>vB7nY3bK6</t>
  </si>
  <si>
    <t>yF0gE6lU3</t>
  </si>
  <si>
    <t>gJ0bG5dI7</t>
  </si>
  <si>
    <t>kT7vF8tR7</t>
  </si>
  <si>
    <t>mP5yS3mP7</t>
  </si>
  <si>
    <t>vO4bE0jO3</t>
  </si>
  <si>
    <t>eR1nP4bI3</t>
  </si>
  <si>
    <t>oH8kQ0aC5</t>
  </si>
  <si>
    <t>gM2kL2tJ3</t>
  </si>
  <si>
    <t>sL5xR8xE2</t>
  </si>
  <si>
    <t>yE8yV4qA1</t>
  </si>
  <si>
    <t>eV8rK0xN0</t>
  </si>
  <si>
    <t>pV4tM0hQ7</t>
  </si>
  <si>
    <t>vX5kW3pL6</t>
  </si>
  <si>
    <t>kO8nC1sT8</t>
  </si>
  <si>
    <t>aT7aD8pN7</t>
  </si>
  <si>
    <t>tA7bR4pO2</t>
  </si>
  <si>
    <t>pL5pG2rM6</t>
  </si>
  <si>
    <t>rO6lV8lO3</t>
  </si>
  <si>
    <t>oW7bT7xV7</t>
  </si>
  <si>
    <t>wM3rK8iU3</t>
  </si>
  <si>
    <t>dM4mE1eN8</t>
  </si>
  <si>
    <t>tU2kT8vC1</t>
  </si>
  <si>
    <t>cO3tV6sX3</t>
  </si>
  <si>
    <t>iH5pA1dD3</t>
  </si>
  <si>
    <t>cU2hY1wW2</t>
  </si>
  <si>
    <t>oR0nW8xQ2</t>
  </si>
  <si>
    <t>aN4qD3nR5</t>
  </si>
  <si>
    <t>gP6fB3tV1</t>
  </si>
  <si>
    <t>qT0iR0cN4</t>
  </si>
  <si>
    <t>jT6qR8tH3</t>
  </si>
  <si>
    <t>gC8jK2yM2</t>
  </si>
  <si>
    <t>lK4oL3tG8</t>
  </si>
  <si>
    <t>bF6dG1hN5</t>
  </si>
  <si>
    <t>lI0iD1dA0</t>
  </si>
  <si>
    <t>wX8vD1oL1</t>
  </si>
  <si>
    <t>mC5qO8wC4</t>
  </si>
  <si>
    <t>pL0vF1eU4</t>
  </si>
  <si>
    <t>mF7uI5rV0</t>
  </si>
  <si>
    <t>kH8rB1iO8</t>
  </si>
  <si>
    <t>fF3wO0qR4</t>
  </si>
  <si>
    <t>gR7sN3hJ4</t>
  </si>
  <si>
    <t>bF6uG1sY8</t>
  </si>
  <si>
    <t>yO6rY5wH2</t>
  </si>
  <si>
    <t>bG7jJ8vW3</t>
  </si>
  <si>
    <t>aM8cB6yY0</t>
  </si>
  <si>
    <t>sI5kQ2uY8</t>
  </si>
  <si>
    <t>eO7eR3uX5</t>
  </si>
  <si>
    <t>kC7iS0nQ8</t>
  </si>
  <si>
    <t>nN4uJ3xL0</t>
  </si>
  <si>
    <t>oV8cO1pS1</t>
  </si>
  <si>
    <t>yQ3pA3oR3</t>
  </si>
  <si>
    <t>vP6jG2vQ4</t>
  </si>
  <si>
    <t>kD1cH6lR4</t>
  </si>
  <si>
    <t>fS6yG1aT4</t>
  </si>
  <si>
    <t>aN0wP0sB5</t>
  </si>
  <si>
    <t>eB1dG3iH7</t>
  </si>
  <si>
    <t>vY6yT5uK6</t>
  </si>
  <si>
    <t>oS7qL1kQ2</t>
  </si>
  <si>
    <t>iT0oQ4fW7</t>
  </si>
  <si>
    <t>tO8nU6tR6</t>
  </si>
  <si>
    <t>oQ2jU5kK7</t>
  </si>
  <si>
    <t>yI8fX0cJ7</t>
  </si>
  <si>
    <t>xC6eU3lW7</t>
  </si>
  <si>
    <t>nG6sA1gE1</t>
  </si>
  <si>
    <t>iY1lS6gB6</t>
  </si>
  <si>
    <t>cT2cL1uI7</t>
  </si>
  <si>
    <t>tB4eK0jL5</t>
  </si>
  <si>
    <t>vV8fU2dI7</t>
  </si>
  <si>
    <t>tC1vK4oS2</t>
  </si>
  <si>
    <t>lW6rM5oA3</t>
  </si>
  <si>
    <t>iS0xD6iI2</t>
  </si>
  <si>
    <t>lM8rH8pD0</t>
  </si>
  <si>
    <t>qT7bA4aO4</t>
  </si>
  <si>
    <t>xR5lG1oL0</t>
  </si>
  <si>
    <t>fV8tD4xM0</t>
  </si>
  <si>
    <t>bF3jD8oV5</t>
  </si>
  <si>
    <t>jK5xY6uJ6</t>
  </si>
  <si>
    <t>bC2uQ8lE5</t>
  </si>
  <si>
    <t>fC0hJ1iV3</t>
  </si>
  <si>
    <t>aI0hR6yN3</t>
  </si>
  <si>
    <t>eR6eR8kN8</t>
  </si>
  <si>
    <t>fH2tY8iD2</t>
  </si>
  <si>
    <t>uA7bU3yE7</t>
  </si>
  <si>
    <t>nE6mO0mK2</t>
  </si>
  <si>
    <t>tD2eH3uF2</t>
  </si>
  <si>
    <t>dQ8oC5mS1</t>
  </si>
  <si>
    <t>xV2nF4mJ6</t>
  </si>
  <si>
    <t>wU4mW5fY3</t>
  </si>
  <si>
    <t>wF7nB5yE0</t>
  </si>
  <si>
    <t>aR7uU5oO7</t>
  </si>
  <si>
    <t>sL7mR5yM7</t>
  </si>
  <si>
    <t>iV7lA5eF3</t>
  </si>
  <si>
    <t>aX5bO1dK6</t>
  </si>
  <si>
    <t>gQ4pN8wW8</t>
  </si>
  <si>
    <t>hO8uU1yN2</t>
  </si>
  <si>
    <t>xS4kK5vB4</t>
  </si>
  <si>
    <t>eI5nE6iR8</t>
  </si>
  <si>
    <t>qY8eM3eC3</t>
  </si>
  <si>
    <t>sH4bU7rB8</t>
  </si>
  <si>
    <t>oN4kF2mJ8</t>
  </si>
  <si>
    <t>vL2aD3eS1</t>
  </si>
  <si>
    <t>lV0hG0eR3</t>
  </si>
  <si>
    <t>nN6rA7yN2</t>
  </si>
  <si>
    <t>mX1bH8iV4</t>
  </si>
  <si>
    <t>xE5gH8jU5</t>
  </si>
  <si>
    <t>yO7wW0iF5</t>
  </si>
  <si>
    <t>mX6fM7bU8</t>
  </si>
  <si>
    <t>wA5xX5cN4</t>
  </si>
  <si>
    <t>iA6sQ4qV5</t>
  </si>
  <si>
    <t>qN7hL3oC6</t>
  </si>
  <si>
    <t>oL4qO1uH8</t>
  </si>
  <si>
    <t>nD7hE7pM8</t>
  </si>
  <si>
    <t>kI0rY7eS3</t>
  </si>
  <si>
    <t>uW5jD5eH7</t>
  </si>
  <si>
    <t>lI4uE7dB1</t>
  </si>
  <si>
    <t>xC5hI0sG8</t>
  </si>
  <si>
    <t>nC8yY4sN3</t>
  </si>
  <si>
    <t>nK3mF0kD6</t>
  </si>
  <si>
    <t>pC0gS4hY6</t>
  </si>
  <si>
    <t>iW3tE1oT2</t>
  </si>
  <si>
    <t>mQ3jP5dQ8</t>
  </si>
  <si>
    <t>jS8rB8nD0</t>
  </si>
  <si>
    <t>wH1pK6mA8</t>
  </si>
  <si>
    <t>qE5sE3cT3</t>
  </si>
  <si>
    <t>tX0mI0fG6</t>
  </si>
  <si>
    <t>vI6uQ1qE8</t>
  </si>
  <si>
    <t>lV7pD1gD3</t>
  </si>
  <si>
    <t>vO7kW8tQ2</t>
  </si>
  <si>
    <t>sV5lJ3oN5</t>
  </si>
  <si>
    <t>cB6mM1xF8</t>
  </si>
  <si>
    <t>dN3qM1fS0</t>
  </si>
  <si>
    <t>iB4nA4uO3</t>
  </si>
  <si>
    <t>eA5tI5wU8</t>
  </si>
  <si>
    <t>qT3xI8yY6</t>
  </si>
  <si>
    <t>eF0vT5pL5</t>
  </si>
  <si>
    <t>pN6jM2sC6</t>
  </si>
  <si>
    <t>tA7sT4pU0</t>
  </si>
  <si>
    <t>fG1eB2aY3</t>
  </si>
  <si>
    <t>oO4fG0lA2</t>
  </si>
  <si>
    <t>tY7cK3qB4</t>
  </si>
  <si>
    <t>oE5nK5bM4</t>
  </si>
  <si>
    <t>sR3vO1qP0</t>
  </si>
  <si>
    <t>hW1eH1qP8</t>
  </si>
  <si>
    <t>hF8hR4bL6</t>
  </si>
  <si>
    <t>iS7wO2nI1</t>
  </si>
  <si>
    <t>yI1oI6eP7</t>
  </si>
  <si>
    <t>hX0nL5bT4</t>
  </si>
  <si>
    <t>vP5yQ2sB4</t>
  </si>
  <si>
    <t>dK0yB1gF6</t>
  </si>
  <si>
    <t>aA1xT3iP3</t>
  </si>
  <si>
    <t>eA1jI7rM3</t>
  </si>
  <si>
    <t>cE7fO0xT0</t>
  </si>
  <si>
    <t>qB2rR3jY6</t>
  </si>
  <si>
    <t>vG8aM1dX2</t>
  </si>
  <si>
    <t>hQ8vQ2kU8</t>
  </si>
  <si>
    <t>vW5uT7mG3</t>
  </si>
  <si>
    <t>jJ3jN6eM6</t>
  </si>
  <si>
    <t>tH7rP2fA2</t>
  </si>
  <si>
    <t>pC6iU1rC0</t>
  </si>
  <si>
    <t>pO6hS8hS8</t>
  </si>
  <si>
    <t>qP7kQ5qF5</t>
  </si>
  <si>
    <t>gN6hM8eA5</t>
  </si>
  <si>
    <t>aQ7mQ0cM7</t>
  </si>
  <si>
    <t>aG0fI0oA1</t>
  </si>
  <si>
    <t>kJ0lB1wG5</t>
  </si>
  <si>
    <t>xS2lO1tX1</t>
  </si>
  <si>
    <t>jK6lA6mX6</t>
  </si>
  <si>
    <t>pI5xP8jL4</t>
  </si>
  <si>
    <t>pY2sM7aR3</t>
  </si>
  <si>
    <t>uX1kO3oQ1</t>
  </si>
  <si>
    <t>gG0aK1iJ7</t>
  </si>
  <si>
    <t>fJ8gW5oK7</t>
  </si>
  <si>
    <t>jB1cQ6eK5</t>
  </si>
  <si>
    <t>kL4sG0fV6</t>
  </si>
  <si>
    <t>tX8uY2cW8</t>
  </si>
  <si>
    <t>eU7rE6sD6</t>
  </si>
  <si>
    <t>nF4oG0tV0</t>
  </si>
  <si>
    <t>rP0iA1iR4</t>
  </si>
  <si>
    <t>cS2pB1rC4</t>
  </si>
  <si>
    <t>iO6tQ7oO4</t>
  </si>
  <si>
    <t>yE0yB3nT4</t>
  </si>
  <si>
    <t>pS7lB5uD7</t>
  </si>
  <si>
    <t>qW4vF1cK8</t>
  </si>
  <si>
    <t>sO7hT8tD7</t>
  </si>
  <si>
    <t>bJ7lU5bD4</t>
  </si>
  <si>
    <t>wB3sH6kG5</t>
  </si>
  <si>
    <t>jA8fB2fM7</t>
  </si>
  <si>
    <t>sF0dT8cE4</t>
  </si>
  <si>
    <t>pA6eW7hP1</t>
  </si>
  <si>
    <t>rA7dC5yY1</t>
  </si>
  <si>
    <t>sW2wD1aL0</t>
  </si>
  <si>
    <t>rN8lF5jL3</t>
  </si>
  <si>
    <t>sI7tP2tJ4</t>
  </si>
  <si>
    <t>jJ1jY3bT0</t>
  </si>
  <si>
    <t>yV8jA6vY2</t>
  </si>
  <si>
    <t>dJ8lA7cO3</t>
  </si>
  <si>
    <t>bR1oJ1mC4</t>
  </si>
  <si>
    <t>vO1aQ6gI5</t>
  </si>
  <si>
    <t>iX7pD0fL0</t>
  </si>
  <si>
    <t>wN8xO0hM0</t>
  </si>
  <si>
    <t>yP0oF5pW0</t>
  </si>
  <si>
    <t>kW1fG8aR5</t>
  </si>
  <si>
    <t>kV3vJ0fF6</t>
  </si>
  <si>
    <t>bB0rA4fF7</t>
  </si>
  <si>
    <t>wN6tW7yM1</t>
  </si>
  <si>
    <t>kC6kN4mP6</t>
  </si>
  <si>
    <t>kQ3oY6eG7</t>
  </si>
  <si>
    <t>wM8tV2wA7</t>
  </si>
  <si>
    <t>fK1uK5fX1</t>
  </si>
  <si>
    <t>hR5tP3vA2</t>
  </si>
  <si>
    <t>cE4lD4oN2</t>
  </si>
  <si>
    <t>fH3qT8uP5</t>
  </si>
  <si>
    <t>xQ4iI7mE0</t>
  </si>
  <si>
    <t>iB7eT8dO1</t>
  </si>
  <si>
    <t>eL7dK2pU4</t>
  </si>
  <si>
    <t>jU3iB1vJ1</t>
  </si>
  <si>
    <t>lV8aJ2pV0</t>
  </si>
  <si>
    <t>dB2dJ6xW5</t>
  </si>
  <si>
    <t>eH0fL1tD1</t>
  </si>
  <si>
    <t>iH4pA0pH2</t>
  </si>
  <si>
    <t>gV4lH8vW4</t>
  </si>
  <si>
    <t>gM5fU1aT5</t>
  </si>
  <si>
    <t>fT6tW0jA1</t>
  </si>
  <si>
    <t>kE7tL6dY5</t>
  </si>
  <si>
    <t>bI8mG5tS7</t>
  </si>
  <si>
    <t>eW0hJ1nU1</t>
  </si>
  <si>
    <t>qJ4iK8gU5</t>
  </si>
  <si>
    <t>bU8wV6vI4</t>
  </si>
  <si>
    <t>hR6mI3nQ7</t>
  </si>
  <si>
    <t>pA6oJ6gC3</t>
  </si>
  <si>
    <t>qK1bK1rH4</t>
  </si>
  <si>
    <t>uV2vL2nQ2</t>
  </si>
  <si>
    <t>yS7yH0yK6</t>
  </si>
  <si>
    <t>nQ2eG0cP8</t>
  </si>
  <si>
    <t>tW3xD8pQ4</t>
  </si>
  <si>
    <t>pL4lH5tP8</t>
  </si>
  <si>
    <t>lK8qC0pQ4</t>
  </si>
  <si>
    <t>yO7oT4nC7</t>
  </si>
  <si>
    <t>lN1aG8kU2</t>
  </si>
  <si>
    <t>yU8oM8jN2</t>
  </si>
  <si>
    <t>qT5bY6aA1</t>
  </si>
  <si>
    <t>wR4fG0pG8</t>
  </si>
  <si>
    <t>cY8eR5uL0</t>
  </si>
  <si>
    <t>uL3sJ5tY3</t>
  </si>
  <si>
    <t>xF5rX3bK6</t>
  </si>
  <si>
    <t>kH7mP3yP0</t>
  </si>
  <si>
    <t>bM6uO7jX3</t>
  </si>
  <si>
    <t>bC8gL8kH6</t>
  </si>
  <si>
    <t>rQ0cM6qT4</t>
  </si>
  <si>
    <t>iT0bR3dA8</t>
  </si>
  <si>
    <t>jK7jD8hI1</t>
  </si>
  <si>
    <t>gM7qS3xA7</t>
  </si>
  <si>
    <t>uE4nD2xX3</t>
  </si>
  <si>
    <t>oX7bK6rA0</t>
  </si>
  <si>
    <t>lR7qD2yU4</t>
  </si>
  <si>
    <t>uA4nE5iJ7</t>
  </si>
  <si>
    <t>dF2nU4dO4</t>
  </si>
  <si>
    <t>lD6gH6aE0</t>
  </si>
  <si>
    <t>aM1lP2jO8</t>
  </si>
  <si>
    <t>nB7aI6rN0</t>
  </si>
  <si>
    <t>eF2hL3gD6</t>
  </si>
  <si>
    <t>mQ4wD4nK0</t>
  </si>
  <si>
    <t>uH4uK1sC0</t>
  </si>
  <si>
    <t>rO4vF5gE4</t>
  </si>
  <si>
    <t>mW8pB7lF5</t>
  </si>
  <si>
    <t>wS2bK5hJ2</t>
  </si>
  <si>
    <t>iI1aH3nL4</t>
  </si>
  <si>
    <t>tF6lA3gK4</t>
  </si>
  <si>
    <t>mY0bO2mG5</t>
  </si>
  <si>
    <t>iS3vQ3dX5</t>
  </si>
  <si>
    <t>wN0xU3rG5</t>
  </si>
  <si>
    <t>yQ6bB0uH5</t>
  </si>
  <si>
    <t>dX1vC7wF1</t>
  </si>
  <si>
    <t>oV8wY8iX4</t>
  </si>
  <si>
    <t>qB0gU5oT3</t>
  </si>
  <si>
    <t>dK0cH8jP5</t>
  </si>
  <si>
    <t>aE0qT2yT2</t>
  </si>
  <si>
    <t>hE8tU8hM4</t>
  </si>
  <si>
    <t>dF1eR6bA6</t>
  </si>
  <si>
    <t>pH1vU5kA5</t>
  </si>
  <si>
    <t>mN8uG2cB1</t>
  </si>
  <si>
    <t>hO8vO0gO5</t>
  </si>
  <si>
    <t>bJ8pA8oB2</t>
  </si>
  <si>
    <t>kO5gP4aM2</t>
  </si>
  <si>
    <t>cI6mE1tE5</t>
  </si>
  <si>
    <t>nR8cP5wE6</t>
  </si>
  <si>
    <t>tX7pF4gW8</t>
  </si>
  <si>
    <t>sP3pN2xY0</t>
  </si>
  <si>
    <t>vO4tT0sR1</t>
  </si>
  <si>
    <t>vC3xU5nI5</t>
  </si>
  <si>
    <t>aK3hH8tE5</t>
  </si>
  <si>
    <t>gO2rR3yB2</t>
  </si>
  <si>
    <t>qO6pW6gD3</t>
  </si>
  <si>
    <t>qC3fS7xE2</t>
  </si>
  <si>
    <t>nG7tB5dB5</t>
  </si>
  <si>
    <t>wP1fF3tH2</t>
  </si>
  <si>
    <t>yW2aC7dW4</t>
  </si>
  <si>
    <t>qX3pS0sH6</t>
  </si>
  <si>
    <t>lN3lN0yN7</t>
  </si>
  <si>
    <t>pP4mD7qF7</t>
  </si>
  <si>
    <t>gT6fX4xW8</t>
  </si>
  <si>
    <t>yL4mA6pK4</t>
  </si>
  <si>
    <t>uW8fN6gC5</t>
  </si>
  <si>
    <t>sB1kS0kW3</t>
  </si>
  <si>
    <t>nG5lW0dM8</t>
  </si>
  <si>
    <t>nC3wR0tS8</t>
  </si>
  <si>
    <t>nB7bT6cX0</t>
  </si>
  <si>
    <t>fI6mA4qE6</t>
  </si>
  <si>
    <t>rI3oV3pQ0</t>
  </si>
  <si>
    <t>nN7eR5vY5</t>
  </si>
  <si>
    <t>qD1xM6mY3</t>
  </si>
  <si>
    <t>hE3uV2bS0</t>
  </si>
  <si>
    <t>cF0aY2oY2</t>
  </si>
  <si>
    <t>eK2qK1pM5</t>
  </si>
  <si>
    <t>rU5gA1sE4</t>
  </si>
  <si>
    <t>yY1cL2fT5</t>
  </si>
  <si>
    <t>qQ8kC7xK6</t>
  </si>
  <si>
    <t>hP7dR5iJ3</t>
  </si>
  <si>
    <t>jI2pI0pD4</t>
  </si>
  <si>
    <t>vT4yS3tT0</t>
  </si>
  <si>
    <t>sL3eF5rM7</t>
  </si>
  <si>
    <t>sG3xI1gK6</t>
  </si>
  <si>
    <t>nG3oR4gL7</t>
  </si>
  <si>
    <t>fN3sG1mP3</t>
  </si>
  <si>
    <t>rL1xR1tB3</t>
  </si>
  <si>
    <t>qK1gH4hK0</t>
  </si>
  <si>
    <t>lR1cL4wS1</t>
  </si>
  <si>
    <t>pF5iL7jW0</t>
  </si>
  <si>
    <t>dB5lB0jY7</t>
  </si>
  <si>
    <t>uI8jS2aA8</t>
  </si>
  <si>
    <t>iN0pC6nW1</t>
  </si>
  <si>
    <t>wT3cI2qJ3</t>
  </si>
  <si>
    <t>lX1iT0dP3</t>
  </si>
  <si>
    <t>qG1uH3dR6</t>
  </si>
  <si>
    <t>pS5hF0hP6</t>
  </si>
  <si>
    <t>gN3eO4iT3</t>
  </si>
  <si>
    <t>tK5jF6yI5</t>
  </si>
  <si>
    <t>aP4eV7rH8</t>
  </si>
  <si>
    <t>fO4fK7vK5</t>
  </si>
  <si>
    <t>nR8kO3yJ5</t>
  </si>
  <si>
    <t>xD2cR4uL2</t>
  </si>
  <si>
    <t>lD8jO5wD1</t>
  </si>
  <si>
    <t>yD6uJ8wU4</t>
  </si>
  <si>
    <t>sV6sR2jT5</t>
  </si>
  <si>
    <t>tT1gW7cO8</t>
  </si>
  <si>
    <t>pK1pC2rL5</t>
  </si>
  <si>
    <t>pY0eF5qN6</t>
  </si>
  <si>
    <t>iG6vX7bR3</t>
  </si>
  <si>
    <t>nI2tJ0dG0</t>
  </si>
  <si>
    <t>hR3pP8uR0</t>
  </si>
  <si>
    <t>gF8hV0oG1</t>
  </si>
  <si>
    <t>wJ3lV0mO8</t>
  </si>
  <si>
    <t>xP7lR6nF6</t>
  </si>
  <si>
    <t>kY6oH6mU8</t>
  </si>
  <si>
    <t>dD0lQ4mQ6</t>
  </si>
  <si>
    <t>pF8tH0cG1</t>
  </si>
  <si>
    <t>tG2hB6dT2</t>
  </si>
  <si>
    <t>cN4bH8eA0</t>
  </si>
  <si>
    <t>uA2mM2lD3</t>
  </si>
  <si>
    <t>pW2lJ0yD1</t>
  </si>
  <si>
    <t>yA3vO1vQ4</t>
  </si>
  <si>
    <t>lB7vN1qC2</t>
  </si>
  <si>
    <t>kK5kI8sS2</t>
  </si>
  <si>
    <t>jQ6wU0gW0</t>
  </si>
  <si>
    <t>oK0mM6lN6</t>
  </si>
  <si>
    <t>bO5qV0dI4</t>
  </si>
  <si>
    <t>eC8qO8yG6</t>
  </si>
  <si>
    <t>hL3hC5dP1</t>
  </si>
  <si>
    <t>fO2eV6mM3</t>
  </si>
  <si>
    <t>nO8gX4xU3</t>
  </si>
  <si>
    <t>uU0aR6lU5</t>
  </si>
  <si>
    <t>pK7hO1yD3</t>
  </si>
  <si>
    <t>dW5tL7oU4</t>
  </si>
  <si>
    <t>gR6cC7oO0</t>
  </si>
  <si>
    <t>jX2fM2sB1</t>
  </si>
  <si>
    <t>wK2rD0tS6</t>
  </si>
  <si>
    <t>iD3tC0nP4</t>
  </si>
  <si>
    <t>oR5dK7rA3</t>
  </si>
  <si>
    <t>rD8hQ3pB7</t>
  </si>
  <si>
    <t>kA4vR4xR3</t>
  </si>
  <si>
    <t>jL4xW6xV7</t>
  </si>
  <si>
    <t>oN6gH8wJ3</t>
  </si>
  <si>
    <t>vH2mK1dD2</t>
  </si>
  <si>
    <t>bR6nG2tP1</t>
  </si>
  <si>
    <t>oC3tF2jP2</t>
  </si>
  <si>
    <t>lW8hD3nS0</t>
  </si>
  <si>
    <t>iG3nK7lC0</t>
  </si>
  <si>
    <t>xH2yH4kH7</t>
  </si>
  <si>
    <t>xI5dQ1rB3</t>
  </si>
  <si>
    <t>yF2xI4uK6</t>
  </si>
  <si>
    <t>hN0xT4dH0</t>
  </si>
  <si>
    <t>rL1eV6kV3</t>
  </si>
  <si>
    <t>qR1vI2xR7</t>
  </si>
  <si>
    <t>hM2mE7wB7</t>
  </si>
  <si>
    <t>rN5gX8gM1</t>
  </si>
  <si>
    <t>yY1eH8qK5</t>
  </si>
  <si>
    <t>qO5xC6hU6</t>
  </si>
  <si>
    <t>wM7sC7eA8</t>
  </si>
  <si>
    <t>oX2tM2rG5</t>
  </si>
  <si>
    <t>fV7cW8jH7</t>
  </si>
  <si>
    <t>yN0yO0xR8</t>
  </si>
  <si>
    <t>eH6xC5fI1</t>
  </si>
  <si>
    <t>cC6rW2tX6</t>
  </si>
  <si>
    <t>yB7fE3qQ8</t>
  </si>
  <si>
    <t>wG3hM5dL2</t>
  </si>
  <si>
    <t>qU4tN5dY3</t>
  </si>
  <si>
    <t>mU8xL1mS5</t>
  </si>
  <si>
    <t>nQ6aI6mB3</t>
  </si>
  <si>
    <t>cF3xK8nN5</t>
  </si>
  <si>
    <t>fI0dF1wN5</t>
  </si>
  <si>
    <t>sA1vD3qX1</t>
  </si>
  <si>
    <t>wD5oK5cJ3</t>
  </si>
  <si>
    <t>wL4fT0bA3</t>
  </si>
  <si>
    <t>xQ1sE7vC8</t>
  </si>
  <si>
    <t>kU4nJ4uN4</t>
  </si>
  <si>
    <t>vK5yN6jT2</t>
  </si>
  <si>
    <t>pR4bU3oN1</t>
  </si>
  <si>
    <t>dC6vT2cD4</t>
  </si>
  <si>
    <t>hA6wG5lT1</t>
  </si>
  <si>
    <t>aC3gR1fO3</t>
  </si>
  <si>
    <t>aD8dU3eQ5</t>
  </si>
  <si>
    <t>wU6hM0yX3</t>
  </si>
  <si>
    <t>qM0cP2uP6</t>
  </si>
  <si>
    <t>xI5qV2oI3</t>
  </si>
  <si>
    <t>hX2kV6rE2</t>
  </si>
  <si>
    <t>bQ3jF6xD1</t>
  </si>
  <si>
    <t>vS3cY4jN7</t>
  </si>
  <si>
    <t>eM8dE5dE6</t>
  </si>
  <si>
    <t>oE5eX2sX3</t>
  </si>
  <si>
    <t>kK8cY0rA7</t>
  </si>
  <si>
    <t>sR0jR7mV8</t>
  </si>
  <si>
    <t>xC7eA0lW3</t>
  </si>
  <si>
    <t>sU5xC7eV2</t>
  </si>
  <si>
    <t>nK0bO3lE2</t>
  </si>
  <si>
    <t>iY2qH5eB6</t>
  </si>
  <si>
    <t>rI5dU2tL4</t>
  </si>
  <si>
    <t>bK4hX0vK8</t>
  </si>
  <si>
    <t>xN8kF2nX0</t>
  </si>
  <si>
    <t>kX3oH4cJ2</t>
  </si>
  <si>
    <t>gI2nS1jO7</t>
  </si>
  <si>
    <t>dO0jM0pN3</t>
  </si>
  <si>
    <t>tD6qN4xX8</t>
  </si>
  <si>
    <t>dA7tM7aP7</t>
  </si>
  <si>
    <t>yV2vC1iO1</t>
  </si>
  <si>
    <t>pL7oM7oP1</t>
  </si>
  <si>
    <t>yK5fT6aA3</t>
  </si>
  <si>
    <t>pV8aP1uO1</t>
  </si>
  <si>
    <t>pY7yE6sI5</t>
  </si>
  <si>
    <t>oN8uB3tQ5</t>
  </si>
  <si>
    <t>yF6dR6sX0</t>
  </si>
  <si>
    <t>dP0xU2nJ6</t>
  </si>
  <si>
    <t>kF7nA7iJ7</t>
  </si>
  <si>
    <t>vX0xH7iL2</t>
  </si>
  <si>
    <t>oW0eK4jD0</t>
  </si>
  <si>
    <t>fO2rF5jD5</t>
  </si>
  <si>
    <t>dS5nU3vQ7</t>
  </si>
  <si>
    <t>mP0kL4dO8</t>
  </si>
  <si>
    <t>cB4wX1mV2</t>
  </si>
  <si>
    <t>cH3hF4cI1</t>
  </si>
  <si>
    <t>uO7oV3vB1</t>
  </si>
  <si>
    <t>jR8jM8sD7</t>
  </si>
  <si>
    <t>nO3iL1fC4</t>
  </si>
  <si>
    <t>cP5vI5pR3</t>
  </si>
  <si>
    <t>tL6qP2vK8</t>
  </si>
  <si>
    <t>hV2mP7rE4</t>
  </si>
  <si>
    <t>wD1kB0wA5</t>
  </si>
  <si>
    <t>uV7aF0eJ0</t>
  </si>
  <si>
    <t>mO8aJ0nU5</t>
  </si>
  <si>
    <t>fB8sS2gS3</t>
  </si>
  <si>
    <t>jW1iL8fU5</t>
  </si>
  <si>
    <t>bA4rQ3iY4</t>
  </si>
  <si>
    <t>vU3rE2uF6</t>
  </si>
  <si>
    <t>xH3xQ3tX3</t>
  </si>
  <si>
    <t>kT6aM1tN4</t>
  </si>
  <si>
    <t>fD1lL1yN5</t>
  </si>
  <si>
    <t>lI1hY5rQ5</t>
  </si>
  <si>
    <t>tO7yX4dY7</t>
  </si>
  <si>
    <t>bM8kQ1wK1</t>
  </si>
  <si>
    <t>qU0xU0rM2</t>
  </si>
  <si>
    <t>uT6aD3qR8</t>
  </si>
  <si>
    <t>iV3sO8cI6</t>
  </si>
  <si>
    <t>tB6jL1kO1</t>
  </si>
  <si>
    <t>dV1qD0rL2</t>
  </si>
  <si>
    <t>oF3uJ4pS2</t>
  </si>
  <si>
    <t>wM0kB4gX4</t>
  </si>
  <si>
    <t>rD8dA2bS7</t>
  </si>
  <si>
    <t>dQ4xV2pL8</t>
  </si>
  <si>
    <t>xK5jV4pH5</t>
  </si>
  <si>
    <t>eI1hB3gN2</t>
  </si>
  <si>
    <t>yC4xH4mK4</t>
  </si>
  <si>
    <t>tF3kK3tP3</t>
  </si>
  <si>
    <t>cE0eO0aF3</t>
  </si>
  <si>
    <t>lD8mF2lT0</t>
  </si>
  <si>
    <t>wQ8gT5rU2</t>
  </si>
  <si>
    <t>oV4pE3qI2</t>
  </si>
  <si>
    <t>oW1oE3lH8</t>
  </si>
  <si>
    <t>nT2cW7tR8</t>
  </si>
  <si>
    <t>fJ4dD1xE3</t>
  </si>
  <si>
    <t>mM3vO1tE0</t>
  </si>
  <si>
    <t>hL2cD4uG0</t>
  </si>
  <si>
    <t>vN2oQ1hV7</t>
  </si>
  <si>
    <t>jY6dP4vD2</t>
  </si>
  <si>
    <t>aF4fV7pT8</t>
  </si>
  <si>
    <t>eY1lP0nR5</t>
  </si>
  <si>
    <t>pG4uW3eI4</t>
  </si>
  <si>
    <t>sQ6vQ8eL5</t>
  </si>
  <si>
    <t>yW3sF8iP1</t>
  </si>
  <si>
    <t>uJ4qK5mO2</t>
  </si>
  <si>
    <t>bU3oM4gP0</t>
  </si>
  <si>
    <t>pG6pV7eK5</t>
  </si>
  <si>
    <t>uM0hX8lC2</t>
  </si>
  <si>
    <t>kC4bK0mE0</t>
  </si>
  <si>
    <t>yX2kB0vN6</t>
  </si>
  <si>
    <t>wW7rX8cE6</t>
  </si>
  <si>
    <t>mJ4mY7yA1</t>
  </si>
  <si>
    <t>kL2eI2dO4</t>
  </si>
  <si>
    <t>rB4pR6xT0</t>
  </si>
  <si>
    <t>iG7wD5fM8</t>
  </si>
  <si>
    <t>aD7mP6lQ3</t>
  </si>
  <si>
    <t>oX6tK8kH6</t>
  </si>
  <si>
    <t>fN2uL7oW1</t>
  </si>
  <si>
    <t>nJ5eI6cF6</t>
  </si>
  <si>
    <t>kC5iX4pS4</t>
  </si>
  <si>
    <t>uX4pD0nR6</t>
  </si>
  <si>
    <t>oK2pQ8eH2</t>
  </si>
  <si>
    <t>hP5uI1jG3</t>
  </si>
  <si>
    <t>tN6eB8kU2</t>
  </si>
  <si>
    <t>hR5fN3wO4</t>
  </si>
  <si>
    <t>kY8gQ5hX0</t>
  </si>
  <si>
    <t>oC3gU1tY3</t>
  </si>
  <si>
    <t>qD4vV1hC7</t>
  </si>
  <si>
    <t>rF6nI2vU3</t>
  </si>
  <si>
    <t>nT3kG1mC6</t>
  </si>
  <si>
    <t>lS8nA4uF0</t>
  </si>
  <si>
    <t>dA1qC4xG5</t>
  </si>
  <si>
    <t>qB1nV6jL6</t>
  </si>
  <si>
    <t>aT0nU6iT6</t>
  </si>
  <si>
    <t>yK6pR4hN2</t>
  </si>
  <si>
    <t>yF6tI6kK6</t>
  </si>
  <si>
    <t>qO8yC5uI4</t>
  </si>
  <si>
    <t>lF2eQ4yR3</t>
  </si>
  <si>
    <t>dB7bQ7vX0</t>
  </si>
  <si>
    <t>lT8kB2lB3</t>
  </si>
  <si>
    <t>kG4iU2kW3</t>
  </si>
  <si>
    <t>dR7iT2pK5</t>
  </si>
  <si>
    <t>lG4eE6tU8</t>
  </si>
  <si>
    <t>sN1eF8oO6</t>
  </si>
  <si>
    <t>eT3eI6mJ6</t>
  </si>
  <si>
    <t>jU5bT0hG7</t>
  </si>
  <si>
    <t>rF2oQ1nP6</t>
  </si>
  <si>
    <t>yK4rF8pV7</t>
  </si>
  <si>
    <t>qY2rE1iM1</t>
  </si>
  <si>
    <t>uG4sG3xJ4</t>
  </si>
  <si>
    <t>uJ8sH1aW1</t>
  </si>
  <si>
    <t>pL5eN3rQ4</t>
  </si>
  <si>
    <t>oI8bS0dG1</t>
  </si>
  <si>
    <t>sB7bX6lY0</t>
  </si>
  <si>
    <t>sL1lJ0gH6</t>
  </si>
  <si>
    <t>gX1vS2aT8</t>
  </si>
  <si>
    <t>dU8vE6qN1</t>
  </si>
  <si>
    <t>cA1bH5pS2</t>
  </si>
  <si>
    <t>hH7tL7jC0</t>
  </si>
  <si>
    <t>aW8qO6cR4</t>
  </si>
  <si>
    <t>jE5iQ7yR8</t>
  </si>
  <si>
    <t>hX2jQ1eS6</t>
  </si>
  <si>
    <t>pX0xF7uG4</t>
  </si>
  <si>
    <t>fA0lE1kQ4</t>
  </si>
  <si>
    <t>cK8fF6gE6</t>
  </si>
  <si>
    <t>tY4pF7fR2</t>
  </si>
  <si>
    <t>cS8bM0xS2</t>
  </si>
  <si>
    <t>bO0mT1vO8</t>
  </si>
  <si>
    <t>xV4aB5tN3</t>
  </si>
  <si>
    <t>vI1mO4vC0</t>
  </si>
  <si>
    <t>aJ3bU3xT6</t>
  </si>
  <si>
    <t>aF8hG3fU2</t>
  </si>
  <si>
    <t>xX6kA7xO2</t>
  </si>
  <si>
    <t>cG2yP6jE2</t>
  </si>
  <si>
    <t>uA8dQ6cC3</t>
  </si>
  <si>
    <t>aJ4hK3tD0</t>
  </si>
  <si>
    <t>bA0hC4jI5</t>
  </si>
  <si>
    <t>eV1cT7gY2</t>
  </si>
  <si>
    <t>nC6kL5jU4</t>
  </si>
  <si>
    <t>xE1wF6gA1</t>
  </si>
  <si>
    <t>rF2tP5nC8</t>
  </si>
  <si>
    <t>nM2xH1rK5</t>
  </si>
  <si>
    <t>qB2qJ8bM4</t>
  </si>
  <si>
    <t>yM0oL5aE3</t>
  </si>
  <si>
    <t>xH0hP8yC0</t>
  </si>
  <si>
    <t>mS6wL6iW3</t>
  </si>
  <si>
    <t>cN2rN0fX5</t>
  </si>
  <si>
    <t>gM2uP4eA2</t>
  </si>
  <si>
    <t>eD5oA4gO0</t>
  </si>
  <si>
    <t>sA1wL5cM4</t>
  </si>
  <si>
    <t>eJ4rY2xT0</t>
  </si>
  <si>
    <t>sV0jG8eW1</t>
  </si>
  <si>
    <t>kA4mM1nJ6</t>
  </si>
  <si>
    <t>rG8nO4yN5</t>
  </si>
  <si>
    <t>lJ4xJ4qF4</t>
  </si>
  <si>
    <t>wO7jO5gJ5</t>
  </si>
  <si>
    <t>rX0sA2xV3</t>
  </si>
  <si>
    <t>jG3fB0dN4</t>
  </si>
  <si>
    <t>fI6lK3cH0</t>
  </si>
  <si>
    <t>nW3vN3lI6</t>
  </si>
  <si>
    <t>eA6dE1iP5</t>
  </si>
  <si>
    <t>kW4rA7jI3</t>
  </si>
  <si>
    <t>wG6dM1eS0</t>
  </si>
  <si>
    <t>cY8eP7cG3</t>
  </si>
  <si>
    <t>iQ3bM6eA7</t>
  </si>
  <si>
    <t>dN2jI8oG5</t>
  </si>
  <si>
    <t>iV2lJ8fJ7</t>
  </si>
  <si>
    <t>kO8dS6dN4</t>
  </si>
  <si>
    <t>eG3pF5aT5</t>
  </si>
  <si>
    <t>mR4wU4qJ6</t>
  </si>
  <si>
    <t>sU7vH2tU8</t>
  </si>
  <si>
    <t>bH7gB5fM5</t>
  </si>
  <si>
    <t>fP1iP1tJ4</t>
  </si>
  <si>
    <t>mN4yD5yX5</t>
  </si>
  <si>
    <t>vW1wW4kS4</t>
  </si>
  <si>
    <t>aS1uA4vP3</t>
  </si>
  <si>
    <t>nB1fM2vY8</t>
  </si>
  <si>
    <t>eF2sV3gA8</t>
  </si>
  <si>
    <t>sD4fJ4dP8</t>
  </si>
  <si>
    <t>uA3yS0lG7</t>
  </si>
  <si>
    <t>tI8kI0oT5</t>
  </si>
  <si>
    <t>fM7hL5mU0</t>
  </si>
  <si>
    <t>hL2hF5qP5</t>
  </si>
  <si>
    <t>sR1mG4sM8</t>
  </si>
  <si>
    <t>iG2vA3bD7</t>
  </si>
  <si>
    <t>xU1pL1qB4</t>
  </si>
  <si>
    <t>kL3oX8pF5</t>
  </si>
  <si>
    <t>eP4nH0vL1</t>
  </si>
  <si>
    <t>cU1dE4vG5</t>
  </si>
  <si>
    <t>aK6yI4qL1</t>
  </si>
  <si>
    <t>vC3xD4kO6</t>
  </si>
  <si>
    <t>nR7kN8dJ5</t>
  </si>
  <si>
    <t>fY0cJ3dW1</t>
  </si>
  <si>
    <t>mS1xU7aC0</t>
  </si>
  <si>
    <t>oO0vC7sC8</t>
  </si>
  <si>
    <t>tC3qE8wW8</t>
  </si>
  <si>
    <t>sM2dX2pD8</t>
  </si>
  <si>
    <t>dD2bD8uK1</t>
  </si>
  <si>
    <t>cC3sJ2kR6</t>
  </si>
  <si>
    <t>pE3uB6gG4</t>
  </si>
  <si>
    <t>fS7fX4wX6</t>
  </si>
  <si>
    <t>lL6sP6gI1</t>
  </si>
  <si>
    <t>nN2qY5cR1</t>
  </si>
  <si>
    <t>eS3mO4mR6</t>
  </si>
  <si>
    <t>bA1qN1cT5</t>
  </si>
  <si>
    <t>lP2bX6mT6</t>
  </si>
  <si>
    <t>iS4pD3fO6</t>
  </si>
  <si>
    <t>lI7yE2xF2</t>
  </si>
  <si>
    <t>hO4rD7aI0</t>
  </si>
  <si>
    <t>qH7hS6yA7</t>
  </si>
  <si>
    <t>kK4mL8nT5</t>
  </si>
  <si>
    <t>xC0pH4bO0</t>
  </si>
  <si>
    <t>jX3tP2bK8</t>
  </si>
  <si>
    <t>tI2gX0aJ4</t>
  </si>
  <si>
    <t>nV5pM2oC0</t>
  </si>
  <si>
    <t>pR0cP6hO7</t>
  </si>
  <si>
    <t>iU5rR8iF1</t>
  </si>
  <si>
    <t>hF8kM6rX6</t>
  </si>
  <si>
    <t>tD4iX4aT3</t>
  </si>
  <si>
    <t>fA1vA3cT3</t>
  </si>
  <si>
    <t>hS6cX6nO8</t>
  </si>
  <si>
    <t>lM3xQ8yS5</t>
  </si>
  <si>
    <t>gW7eQ8cO8</t>
  </si>
  <si>
    <t>hO1oI1mI6</t>
  </si>
  <si>
    <t>kA0rC7rK8</t>
  </si>
  <si>
    <t>sE4aE0tI8</t>
  </si>
  <si>
    <t>xB2yC6lR3</t>
  </si>
  <si>
    <t>uM6wT4gD3</t>
  </si>
  <si>
    <t>vS8sM1cN5</t>
  </si>
  <si>
    <t>aR2gD8jP7</t>
  </si>
  <si>
    <t>oQ6jG3dK0</t>
  </si>
  <si>
    <t>wY3mX0jR1</t>
  </si>
  <si>
    <t>iD5rI1kC0</t>
  </si>
  <si>
    <t>kV2xD5iX1</t>
  </si>
  <si>
    <t>oQ7yM8jM0</t>
  </si>
  <si>
    <t>bW7aV8dO3</t>
  </si>
  <si>
    <t>nR1fO4uJ1</t>
  </si>
  <si>
    <t>kK4yC8qB5</t>
  </si>
  <si>
    <t>iO3tX2gA8</t>
  </si>
  <si>
    <t>eM4mN4eN3</t>
  </si>
  <si>
    <t>aU7wJ6qN6</t>
  </si>
  <si>
    <t>oP5wF5gO2</t>
  </si>
  <si>
    <t>sW1cD1eK4</t>
  </si>
  <si>
    <t>hU8eB8bG3</t>
  </si>
  <si>
    <t>kF3fM8wB8</t>
  </si>
  <si>
    <t>lN2iN7jL7</t>
  </si>
  <si>
    <t>aB3fC5wV4</t>
  </si>
  <si>
    <t>mS4jU6jY4</t>
  </si>
  <si>
    <t>cJ8eT0jL1</t>
  </si>
  <si>
    <t>oI1yA5cF1</t>
  </si>
  <si>
    <t>lT7mM3iX7</t>
  </si>
  <si>
    <t>qA3lM4nL0</t>
  </si>
  <si>
    <t>oM7aU4rI5</t>
  </si>
  <si>
    <t>tK2sX7yW7</t>
  </si>
  <si>
    <t>eD5xD5mK3</t>
  </si>
  <si>
    <t>xR5fW6hT2</t>
  </si>
  <si>
    <t>gU1jF5nL8</t>
  </si>
  <si>
    <t>qF3jA5xR5</t>
  </si>
  <si>
    <t>tT8yG4jS7</t>
  </si>
  <si>
    <t>qM7qK5fI6</t>
  </si>
  <si>
    <t>gR1lY8gB3</t>
  </si>
  <si>
    <t>kP7lN0bB5</t>
  </si>
  <si>
    <t>sX5hA1gI6</t>
  </si>
  <si>
    <t>mP4cP6sV6</t>
  </si>
  <si>
    <t>nG6lV4nM5</t>
  </si>
  <si>
    <t>hJ3nE5cX6</t>
  </si>
  <si>
    <t>aU6mO1rW3</t>
  </si>
  <si>
    <t>wX6vQ6uX5</t>
  </si>
  <si>
    <t>jH4bQ4wO1</t>
  </si>
  <si>
    <t>lN2fM1tV3</t>
  </si>
  <si>
    <t>dF5vC7aF5</t>
  </si>
  <si>
    <t>iE6hW1iX6</t>
  </si>
  <si>
    <t>mW2jT6uM6</t>
  </si>
  <si>
    <t>aT2eP1jW0</t>
  </si>
  <si>
    <t>aR7dG8qU4</t>
  </si>
  <si>
    <t>rH5uQ3qV8</t>
  </si>
  <si>
    <t>kV8yM3wH4</t>
  </si>
  <si>
    <t>cS8xM2aY5</t>
  </si>
  <si>
    <t>fA2oN0qF8</t>
  </si>
  <si>
    <t>iT5jS3fL6</t>
  </si>
  <si>
    <t>nB3wF1iE1</t>
  </si>
  <si>
    <t>xK8hN5tK3</t>
  </si>
  <si>
    <t>lN1kU6sH5</t>
  </si>
  <si>
    <t>rY1cV7jG4</t>
  </si>
  <si>
    <t>mO4jK5qP0</t>
  </si>
  <si>
    <t>dG5rM6uS4</t>
  </si>
  <si>
    <t>vD8iR2vX7</t>
  </si>
  <si>
    <t>nV1gQ2lT6</t>
  </si>
  <si>
    <t>uE2wR8tO4</t>
  </si>
  <si>
    <t>rD7qV1pI8</t>
  </si>
  <si>
    <t>bN5gL2fU2</t>
  </si>
  <si>
    <t>tH3mQ5pH8</t>
  </si>
  <si>
    <t>dX6wX5gU4</t>
  </si>
  <si>
    <t>xE0mR3wU5</t>
  </si>
  <si>
    <t>vC2dO4yN1</t>
  </si>
  <si>
    <t>aG7dJ5nB4</t>
  </si>
  <si>
    <t>eP8hA5oP2</t>
  </si>
  <si>
    <t>mY2pD5iC5</t>
  </si>
  <si>
    <t>mL7aL0hC2</t>
  </si>
  <si>
    <t>wG2aC6jN0</t>
  </si>
  <si>
    <t>bT8uX6aV2</t>
  </si>
  <si>
    <t>oT1iM1mT2</t>
  </si>
  <si>
    <t>hH1hE3rL0</t>
  </si>
  <si>
    <t>wO7bG5dK3</t>
  </si>
  <si>
    <t>fH8iW8wO8</t>
  </si>
  <si>
    <t>eW3kG2kE0</t>
  </si>
  <si>
    <t>nW2gU0oK8</t>
  </si>
  <si>
    <t>xK8mQ1mA2</t>
  </si>
  <si>
    <t>vD8dJ3sR3</t>
  </si>
  <si>
    <t>jW4wW2bH8</t>
  </si>
  <si>
    <t>kK6tE7uA5</t>
  </si>
  <si>
    <t>hN4jN4uJ8</t>
  </si>
  <si>
    <t>nS7nW1jS7</t>
  </si>
  <si>
    <t>eM5xV7hW8</t>
  </si>
  <si>
    <t>bV7tA3hT0</t>
  </si>
  <si>
    <t>qH8jW7eR6</t>
  </si>
  <si>
    <t>nH2dY8oF6</t>
  </si>
  <si>
    <t>pH0uQ2cE8</t>
  </si>
  <si>
    <t>oF5kE7rN8</t>
  </si>
  <si>
    <t>mL4oU6uC3</t>
  </si>
  <si>
    <t>sS3uI8hK7</t>
  </si>
  <si>
    <t>aD4gD7gQ3</t>
  </si>
  <si>
    <t>wG8bE2qA4</t>
  </si>
  <si>
    <t>iE5qB8vC3</t>
  </si>
  <si>
    <t>uO4uB8sY2</t>
  </si>
  <si>
    <t>lR1eE6dJ6</t>
  </si>
  <si>
    <t>iE2lI5cF7</t>
  </si>
  <si>
    <t>aK8tQ3kM4</t>
  </si>
  <si>
    <t>cJ4vF3tF3</t>
  </si>
  <si>
    <t>oB2sI1pK3</t>
  </si>
  <si>
    <t>uM4lK1oL0</t>
  </si>
  <si>
    <t>bS8jC1yA6</t>
  </si>
  <si>
    <t>aN6sW8jU0</t>
  </si>
  <si>
    <t>aE3eO7nR8</t>
  </si>
  <si>
    <t>rJ2tM8uE0</t>
  </si>
  <si>
    <t>uY8uG6dC3</t>
  </si>
  <si>
    <t>cN1iB3aU7</t>
  </si>
  <si>
    <t>nM6hM4lX7</t>
  </si>
  <si>
    <t>qD3dE1aJ5</t>
  </si>
  <si>
    <t>vL7uU6kJ4</t>
  </si>
  <si>
    <t>lV8pF2uC7</t>
  </si>
  <si>
    <t>pW1xI2mX2</t>
  </si>
  <si>
    <t>aC7iG0oH4</t>
  </si>
  <si>
    <t>oQ8vF7tP7</t>
  </si>
  <si>
    <t>pA0xP2yU7</t>
  </si>
  <si>
    <t>iY5mC5iJ8</t>
  </si>
  <si>
    <t>iY8hR2nP2</t>
  </si>
  <si>
    <t>tS5vK6nP2</t>
  </si>
  <si>
    <t>uH4cM2wY6</t>
  </si>
  <si>
    <t>oS4oU2sQ8</t>
  </si>
  <si>
    <t>yP2fY0nR7</t>
  </si>
  <si>
    <t>vG1nR6sH1</t>
  </si>
  <si>
    <t>vL0bU3sN0</t>
  </si>
  <si>
    <t>xU3hG3rQ6</t>
  </si>
  <si>
    <t>uU1mF8fW5</t>
  </si>
  <si>
    <t>vB6qV4eK7</t>
  </si>
  <si>
    <t>yA1gI1xN6</t>
  </si>
  <si>
    <t>mS4yP2xQ4</t>
  </si>
  <si>
    <t>tV8gW7vC2</t>
  </si>
  <si>
    <t>mV0aF6vP1</t>
  </si>
  <si>
    <t>iQ3rG5vT1</t>
  </si>
  <si>
    <t>kK4bU2yI5</t>
  </si>
  <si>
    <t>vH7rK2yD3</t>
  </si>
  <si>
    <t>nP8tG8sN1</t>
  </si>
  <si>
    <t>dF4eG3sV0</t>
  </si>
  <si>
    <t>hL7oB5dI3</t>
  </si>
  <si>
    <t>bW1tL0sE1</t>
  </si>
  <si>
    <t>gK2bP3pU0</t>
  </si>
  <si>
    <t>qC8lR7rI8</t>
  </si>
  <si>
    <t>vF5tV6bG2</t>
  </si>
  <si>
    <t>bI2dI2oO8</t>
  </si>
  <si>
    <t>sP6nD8oJ1</t>
  </si>
  <si>
    <t>iL8eG1oP8</t>
  </si>
  <si>
    <t>pV8cM1dE2</t>
  </si>
  <si>
    <t>tT1rV6wO2</t>
  </si>
  <si>
    <t>dM3bB8rG7</t>
  </si>
  <si>
    <t>xH3dB0kI3</t>
  </si>
  <si>
    <t>xX3sH0tR5</t>
  </si>
  <si>
    <t>eP7rG6qX1</t>
  </si>
  <si>
    <t>fB1kH6uO3</t>
  </si>
  <si>
    <t>yY6nN1lR0</t>
  </si>
  <si>
    <t>tE8vC2sJ0</t>
  </si>
  <si>
    <t>iO2tT8yJ6</t>
  </si>
  <si>
    <t>kY8dR3lQ0</t>
  </si>
  <si>
    <t>sL2rM7bE4</t>
  </si>
  <si>
    <t>vC6hY5hJ5</t>
  </si>
  <si>
    <t>aH1qM2yT8</t>
  </si>
  <si>
    <t>jN3jY7pR3</t>
  </si>
  <si>
    <t>yF0vN8jV8</t>
  </si>
  <si>
    <t>mT8gO4iS2</t>
  </si>
  <si>
    <t>jR6iW1yG2</t>
  </si>
  <si>
    <t>mL7nW3nN4</t>
  </si>
  <si>
    <t>sX2tP1oH2</t>
  </si>
  <si>
    <t>wC6qJ7vU8</t>
  </si>
  <si>
    <t>nU8uR1dE7</t>
  </si>
  <si>
    <t>hB3jX4yT3</t>
  </si>
  <si>
    <t>tT1mC6fE8</t>
  </si>
  <si>
    <t>tQ1kQ8mX4</t>
  </si>
  <si>
    <t>cY7bY4uX4</t>
  </si>
  <si>
    <t>dH6vL0nN4</t>
  </si>
  <si>
    <t>wX5uF0tE2</t>
  </si>
  <si>
    <t>xU1xG8bV7</t>
  </si>
  <si>
    <t>yF8oX0tO5</t>
  </si>
  <si>
    <t>jV7wL5kV8</t>
  </si>
  <si>
    <t>aS6nC1bF8</t>
  </si>
  <si>
    <t>eN2uF2dJ4</t>
  </si>
  <si>
    <t>dN0mU4jB8</t>
  </si>
  <si>
    <t>oY1pF5dK6</t>
  </si>
  <si>
    <t>vE1bL0gT3</t>
  </si>
  <si>
    <t>qX8nH3dX3</t>
  </si>
  <si>
    <t>tM7iY4vE0</t>
  </si>
  <si>
    <t>qB5nW0xK3</t>
  </si>
  <si>
    <t>dK4iB3bX0</t>
  </si>
  <si>
    <t>fA7mP0nK6</t>
  </si>
  <si>
    <t>pG4lY3eQ1</t>
  </si>
  <si>
    <t>qQ1lJ8wE1</t>
  </si>
  <si>
    <t>wH1yJ5nH3</t>
  </si>
  <si>
    <t>nF5vC5dL1</t>
  </si>
  <si>
    <t>oI0xH5rT7</t>
  </si>
  <si>
    <t>uI8kV2gM5</t>
  </si>
  <si>
    <t>nI4nH8vV2</t>
  </si>
  <si>
    <t>vE8iY7cV0</t>
  </si>
  <si>
    <t>sV5vQ1lA1</t>
  </si>
  <si>
    <t>vB1aI3gS4</t>
  </si>
  <si>
    <t>gK1jD3uA6</t>
  </si>
  <si>
    <t>lG6qG6rY2</t>
  </si>
  <si>
    <t>uG3rK1aX6</t>
  </si>
  <si>
    <t>oO7gY2oJ1</t>
  </si>
  <si>
    <t>wT3wM3kA4</t>
  </si>
  <si>
    <t>oU6bJ3pK7</t>
  </si>
  <si>
    <t>kS0fA4jU0</t>
  </si>
  <si>
    <t>lV4kB5uV0</t>
  </si>
  <si>
    <t>fA8wD0jW6</t>
  </si>
  <si>
    <t>vB1oQ8qQ0</t>
  </si>
  <si>
    <t>cO4bJ4fM8</t>
  </si>
  <si>
    <t>oY0oR4mB6</t>
  </si>
  <si>
    <t>jP8jJ7dL2</t>
  </si>
  <si>
    <t>hQ8iJ8cP8</t>
  </si>
  <si>
    <t>lV4bL8cS0</t>
  </si>
  <si>
    <t>iP7fH8aB7</t>
  </si>
  <si>
    <t>fO0xM4oN3</t>
  </si>
  <si>
    <t>yK1iI6pJ6</t>
  </si>
  <si>
    <t>wO0wR0sC2</t>
  </si>
  <si>
    <t>rF5fL5aK1</t>
  </si>
  <si>
    <t>aO8mN1fC5</t>
  </si>
  <si>
    <t>lS2yH2xL3</t>
  </si>
  <si>
    <t>aM1eL6uW4</t>
  </si>
  <si>
    <t>pK5qU4jO0</t>
  </si>
  <si>
    <t>nT3wL5hO3</t>
  </si>
  <si>
    <t>dU5lF1vI7</t>
  </si>
  <si>
    <t>bS7qT2wC2</t>
  </si>
  <si>
    <t>bH3sP6dB0</t>
  </si>
  <si>
    <t>dL5lE2qM5</t>
  </si>
  <si>
    <t>tO8uR6pP7</t>
  </si>
  <si>
    <t>nQ0cU4pI2</t>
  </si>
  <si>
    <t>cX1aU4mJ4</t>
  </si>
  <si>
    <t>fG3oU2dW8</t>
  </si>
  <si>
    <t>gL7yM7nQ7</t>
  </si>
  <si>
    <t>oM0hT2tX1</t>
  </si>
  <si>
    <t>qA7oS6xV4</t>
  </si>
  <si>
    <t>sR3xV3kJ7</t>
  </si>
  <si>
    <t>gJ5nE2wQ8</t>
  </si>
  <si>
    <t>xQ2yO4iK2</t>
  </si>
  <si>
    <t>kV7dT2gH1</t>
  </si>
  <si>
    <t>aK5qK3jS1</t>
  </si>
  <si>
    <t>tY8nH5wH4</t>
  </si>
  <si>
    <t>nR3yV6kW7</t>
  </si>
  <si>
    <t>oJ2rD2eY6</t>
  </si>
  <si>
    <t>jN4gQ2aM8</t>
  </si>
  <si>
    <t>hF6mU1nK4</t>
  </si>
  <si>
    <t>uU1dV7yP8</t>
  </si>
  <si>
    <t>tI4pC4wQ0</t>
  </si>
  <si>
    <t>vL3iW4aT5</t>
  </si>
  <si>
    <t>vQ4sJ5eJ5</t>
  </si>
  <si>
    <t>tG5oD0xM3</t>
  </si>
  <si>
    <t>mC0uW5pW6</t>
  </si>
  <si>
    <t>eG6xR8bD4</t>
  </si>
  <si>
    <t>uG7qW6lF8</t>
  </si>
  <si>
    <t>bL3nF2yX2</t>
  </si>
  <si>
    <t>lV6kA4nQ2</t>
  </si>
  <si>
    <t>kA2pO6tV4</t>
  </si>
  <si>
    <t>lL0vL8rC6</t>
  </si>
  <si>
    <t>sS1eY6gO1</t>
  </si>
  <si>
    <t>hN4nN3lC2</t>
  </si>
  <si>
    <t>hU3qJ6fO8</t>
  </si>
  <si>
    <t>dS7sW4oU1</t>
  </si>
  <si>
    <t>cR3rA2gO0</t>
  </si>
  <si>
    <t>aN1dI7qW5</t>
  </si>
  <si>
    <t>lC7iP7lV1</t>
  </si>
  <si>
    <t>rD0oU7iE7</t>
  </si>
  <si>
    <t>gU8eR4sV6</t>
  </si>
  <si>
    <t>jT6jP6sJ8</t>
  </si>
  <si>
    <t>oP7cH5qK0</t>
  </si>
  <si>
    <t>hK2sH1iF4</t>
  </si>
  <si>
    <t>pI6oN7eK1</t>
  </si>
  <si>
    <t>xX3mJ7eF8</t>
  </si>
  <si>
    <t>rQ6oL7tW7</t>
  </si>
  <si>
    <t>sL1sR1bW5</t>
  </si>
  <si>
    <t>eE0gX3oB1</t>
  </si>
  <si>
    <t>rD1uD3sB6</t>
  </si>
  <si>
    <t>aO2vO5pN8</t>
  </si>
  <si>
    <t>qX3xI8jE3</t>
  </si>
  <si>
    <t>tC6tO0cJ3</t>
  </si>
  <si>
    <t>sN3uK2vF6</t>
  </si>
  <si>
    <t>pO4mE1jW2</t>
  </si>
  <si>
    <t>xK3dV1mH8</t>
  </si>
  <si>
    <t>cG3gS6wC2</t>
  </si>
  <si>
    <t>uP3gI2eL7</t>
  </si>
  <si>
    <t>hE6fT1pY3</t>
  </si>
  <si>
    <t>qG5eH6lK1</t>
  </si>
  <si>
    <t>sY1eO5aR1</t>
  </si>
  <si>
    <t>pP8nL3xB1</t>
  </si>
  <si>
    <t>gY4qC6dK0</t>
  </si>
  <si>
    <t>xO5vN6hW1</t>
  </si>
  <si>
    <t>qA4cJ7vK0</t>
  </si>
  <si>
    <t>kL0rJ5cY5</t>
  </si>
  <si>
    <t>kR1wC8xU5</t>
  </si>
  <si>
    <t>iT5uB6pV4</t>
  </si>
  <si>
    <t>aE2yQ3bR1</t>
  </si>
  <si>
    <t>nD3eD6tL4</t>
  </si>
  <si>
    <t>yT6jY6eA7</t>
  </si>
  <si>
    <t>kL5gR6uX6</t>
  </si>
  <si>
    <t>dT3gN6sP1</t>
  </si>
  <si>
    <t>hM8lV5sW6</t>
  </si>
  <si>
    <t>bH6hB3kC8</t>
  </si>
  <si>
    <t>xM6mI1xS0</t>
  </si>
  <si>
    <t>xQ8eK3mY6</t>
  </si>
  <si>
    <t>oO2qJ2qW7</t>
  </si>
  <si>
    <t>cY4eD0qA2</t>
  </si>
  <si>
    <t>mU1kB1oE0</t>
  </si>
  <si>
    <t>dE5mC7qR1</t>
  </si>
  <si>
    <t>eN5rL5jB5</t>
  </si>
  <si>
    <t>eQ2sS0hE0</t>
  </si>
  <si>
    <t>mM2nV5aC1</t>
  </si>
  <si>
    <t>aW0kS3mY5</t>
  </si>
  <si>
    <t>gE2vD5qW2</t>
  </si>
  <si>
    <t>gF6oA1eM1</t>
  </si>
  <si>
    <t>jU5yT5nV6</t>
  </si>
  <si>
    <t>nH2cD6lO8</t>
  </si>
  <si>
    <t>nA6qH2nK8</t>
  </si>
  <si>
    <t>yH7fW8hY4</t>
  </si>
  <si>
    <t>jC5tY8sB1</t>
  </si>
  <si>
    <t>rM2xU1jR0</t>
  </si>
  <si>
    <t>qS4yL3nW2</t>
  </si>
  <si>
    <t>gN8yQ4cM3</t>
  </si>
  <si>
    <t>yG3aR1kP5</t>
  </si>
  <si>
    <t>bS1jO8vM5</t>
  </si>
  <si>
    <t>pD1yM2gM6</t>
  </si>
  <si>
    <t>oU5yI7gG7</t>
  </si>
  <si>
    <t>cL8cO0kO2</t>
  </si>
  <si>
    <t>gX7pD0jD3</t>
  </si>
  <si>
    <t>lG6rQ8dN1</t>
  </si>
  <si>
    <t>yV6rE1iO5</t>
  </si>
  <si>
    <t>kS4sM3gW2</t>
  </si>
  <si>
    <t>tN0vA3aO0</t>
  </si>
  <si>
    <t>oO0wR2hH3</t>
  </si>
  <si>
    <t>nG4pA4fS5</t>
  </si>
  <si>
    <t>rG2xV7kX2</t>
  </si>
  <si>
    <t>aF5lA8bC6</t>
  </si>
  <si>
    <t>sL4xR1uN5</t>
  </si>
  <si>
    <t>lB3jI2aH5</t>
  </si>
  <si>
    <t>aH4yK8sB4</t>
  </si>
  <si>
    <t>wG7vA2mR6</t>
  </si>
  <si>
    <t>nH0kH8qE4</t>
  </si>
  <si>
    <t>xU0wH5tX8</t>
  </si>
  <si>
    <t>bD8mL1gQ4</t>
  </si>
  <si>
    <t>iM3qG1iM1</t>
  </si>
  <si>
    <t>xU4sG0fT6</t>
  </si>
  <si>
    <t>pS1tW8gT8</t>
  </si>
  <si>
    <t>cG7jJ0eO0</t>
  </si>
  <si>
    <t>rG0jW6uY8</t>
  </si>
  <si>
    <t>vX0pS1jU5</t>
  </si>
  <si>
    <t>pB3pG6iK3</t>
  </si>
  <si>
    <t>fL8xX5wO8</t>
  </si>
  <si>
    <t>aI1rS4aU4</t>
  </si>
  <si>
    <t>tS4qE4uY2</t>
  </si>
  <si>
    <t>bG0mY5nK4</t>
  </si>
  <si>
    <t>mF2jJ4vJ2</t>
  </si>
  <si>
    <t>pM0bH7qC3</t>
  </si>
  <si>
    <t>hF3bA4aF1</t>
  </si>
  <si>
    <t>tY6bT7mN2</t>
  </si>
  <si>
    <t>gM5eT3xW4</t>
  </si>
  <si>
    <t>jB2uG0yM2</t>
  </si>
  <si>
    <t>pD5oY4eV2</t>
  </si>
  <si>
    <t>oT8aS8oV8</t>
  </si>
  <si>
    <t>oK1pI8eS1</t>
  </si>
  <si>
    <t>oI6hJ3sH3</t>
  </si>
  <si>
    <t>lA8gA7vW7</t>
  </si>
  <si>
    <t>cC0xX0uV1</t>
  </si>
  <si>
    <t>eW6yP0bV3</t>
  </si>
  <si>
    <t>aP8xR0kI5</t>
  </si>
  <si>
    <t>kC2aF0eL0</t>
  </si>
  <si>
    <t>kU8fL1tS2</t>
  </si>
  <si>
    <t>nC8vD1sA7</t>
  </si>
  <si>
    <t>pL7fM1sW0</t>
  </si>
  <si>
    <t>hO6pH5cX3</t>
  </si>
  <si>
    <t>yC1hG3tB2</t>
  </si>
  <si>
    <t>jH2lF0eJ0</t>
  </si>
  <si>
    <t>cJ2dS1aH5</t>
  </si>
  <si>
    <t>vR1hR4hG0</t>
  </si>
  <si>
    <t>fY2eW2xV0</t>
  </si>
  <si>
    <t>fF5rA6aC0</t>
  </si>
  <si>
    <t>rU0eX1fR3</t>
  </si>
  <si>
    <t>qW0pV7jJ8</t>
  </si>
  <si>
    <t>yC7rM2oN7</t>
  </si>
  <si>
    <t>yS0yN7uI3</t>
  </si>
  <si>
    <t>mO1tT4bW2</t>
  </si>
  <si>
    <t>cY1oW5jK2</t>
  </si>
  <si>
    <t>rV6sL7gA2</t>
  </si>
  <si>
    <t>cC1dM7iY7</t>
  </si>
  <si>
    <t>mR8eN4wM7</t>
  </si>
  <si>
    <t>mL7pD4vC4</t>
  </si>
  <si>
    <t>xF0dN6kN6</t>
  </si>
  <si>
    <t>bA7lK7cB8</t>
  </si>
  <si>
    <t>uB7bC2cX1</t>
  </si>
  <si>
    <t>nM0jW0sT1</t>
  </si>
  <si>
    <t>iP3fO3vA7</t>
  </si>
  <si>
    <t>nQ7bV4uA8</t>
  </si>
  <si>
    <t>eI5eT5tV5</t>
  </si>
  <si>
    <t>aL1fQ6sI6</t>
  </si>
  <si>
    <t>lP7cX2hF4</t>
  </si>
  <si>
    <t>oM4oI7lE6</t>
  </si>
  <si>
    <t>jY2pA3uA0</t>
  </si>
  <si>
    <t>pU3oK4tM3</t>
  </si>
  <si>
    <t>jJ2eF2gD2</t>
  </si>
  <si>
    <t>wO4kY8uK0</t>
  </si>
  <si>
    <t>hH2gB2pN0</t>
  </si>
  <si>
    <t>hL1oI6wA4</t>
  </si>
  <si>
    <t>gX5uJ0xT5</t>
  </si>
  <si>
    <t>lL6xD7oK5</t>
  </si>
  <si>
    <t>eB8xE2bI8</t>
  </si>
  <si>
    <t>pE2bW7lR2</t>
  </si>
  <si>
    <t>lS4qX6nL2</t>
  </si>
  <si>
    <t>tX2nN1uI0</t>
  </si>
  <si>
    <t>bG8rE3yQ2</t>
  </si>
  <si>
    <t>aX4eW1aQ4</t>
  </si>
  <si>
    <t>uW3wQ8hW1</t>
  </si>
  <si>
    <t>qY3pH0hM8</t>
  </si>
  <si>
    <t>yA4iX3fK3</t>
  </si>
  <si>
    <t>sJ4sJ7tO5</t>
  </si>
  <si>
    <t>xE3hH5wT4</t>
  </si>
  <si>
    <t>qX5yE7eP8</t>
  </si>
  <si>
    <t>uW3gO2lJ8</t>
  </si>
  <si>
    <t>tI1aB6yA4</t>
  </si>
  <si>
    <t>iH5iS6rT0</t>
  </si>
  <si>
    <t>yJ7wT3sG4</t>
  </si>
  <si>
    <t>rL1eA3gJ3</t>
  </si>
  <si>
    <t>fX4oU5nV6</t>
  </si>
  <si>
    <t>fX6uS4kL4</t>
  </si>
  <si>
    <t>vR7dG3nA3</t>
  </si>
  <si>
    <t>eC2oB3rA6</t>
  </si>
  <si>
    <t>iB3pY5eC2</t>
  </si>
  <si>
    <t>jK1qN4dE5</t>
  </si>
  <si>
    <t>cB6xQ1qI6</t>
  </si>
  <si>
    <t>oD0dG3eP6</t>
  </si>
  <si>
    <t>nX7qV2xO7</t>
  </si>
  <si>
    <t>oQ2gF8kT2</t>
  </si>
  <si>
    <t>nU5bK5bH1</t>
  </si>
  <si>
    <t>jL8xG6gG8</t>
  </si>
  <si>
    <t>pO1uO2mF5</t>
  </si>
  <si>
    <t>kI2qF6vI1</t>
  </si>
  <si>
    <t>tE3jN7fE5</t>
  </si>
  <si>
    <t>tQ1jD8cY2</t>
  </si>
  <si>
    <t>rI8lB1aK6</t>
  </si>
  <si>
    <t>qA0cR5aU3</t>
  </si>
  <si>
    <t>eM8tD5vU1</t>
  </si>
  <si>
    <t>oO0wF1aE7</t>
  </si>
  <si>
    <t>vB3tV3vT3</t>
  </si>
  <si>
    <t>bC7oL2lR2</t>
  </si>
  <si>
    <t>cJ7gB2pI3</t>
  </si>
  <si>
    <t>jD1qC6lC2</t>
  </si>
  <si>
    <t>bJ3lN1qU1</t>
  </si>
  <si>
    <t>yR0sH0iO4</t>
  </si>
  <si>
    <t>kQ8eC5rN8</t>
  </si>
  <si>
    <t>sV5gN2wJ2</t>
  </si>
  <si>
    <t>fR2vC1bM5</t>
  </si>
  <si>
    <t>hX2bN3sR7</t>
  </si>
  <si>
    <t>pS6dN1iV8</t>
  </si>
  <si>
    <t>nF8bD0mC8</t>
  </si>
  <si>
    <t>jB8uX6hT7</t>
  </si>
  <si>
    <t>uU3sR3oD4</t>
  </si>
  <si>
    <t>kO7uA5eI6</t>
  </si>
  <si>
    <t>mA7dX7uQ3</t>
  </si>
  <si>
    <t>iQ3rK1cE4</t>
  </si>
  <si>
    <t>jQ0qF2sS3</t>
  </si>
  <si>
    <t>tI3wE1kY4</t>
  </si>
  <si>
    <t>yD5aM3vP3</t>
  </si>
  <si>
    <t>jS7rU7pJ7</t>
  </si>
  <si>
    <t>hX3aE6mT2</t>
  </si>
  <si>
    <t>cL5qH1eQ6</t>
  </si>
  <si>
    <t>xS8aA5vQ8</t>
  </si>
  <si>
    <t>uT2eF3wL5</t>
  </si>
  <si>
    <t>bP1rS1xE8</t>
  </si>
  <si>
    <t>tG8aL7jM2</t>
  </si>
  <si>
    <t>dQ5bI7vF7</t>
  </si>
  <si>
    <t>uA8pH7iU7</t>
  </si>
  <si>
    <t>lJ2tL8vX0</t>
  </si>
  <si>
    <t>yR8uO7sT2</t>
  </si>
  <si>
    <t>uO3dR8vB3</t>
  </si>
  <si>
    <t>bI4kQ7rW0</t>
  </si>
  <si>
    <t>vA2tT6hW1</t>
  </si>
  <si>
    <t>jW5kM3jG5</t>
  </si>
  <si>
    <t>qE7oD0dC5</t>
  </si>
  <si>
    <t>cD7oX3rT3</t>
  </si>
  <si>
    <t>vN2gB3xO2</t>
  </si>
  <si>
    <t>lE6uB4uF0</t>
  </si>
  <si>
    <t>tU0mP1yT8</t>
  </si>
  <si>
    <t>xQ6eD2oD4</t>
  </si>
  <si>
    <t>jK2jF7uR6</t>
  </si>
  <si>
    <t>sI3eP1kO3</t>
  </si>
  <si>
    <t>qW1yP2rA8</t>
  </si>
  <si>
    <t>iK1eT8uO3</t>
  </si>
  <si>
    <t>tD4tR4jQ3</t>
  </si>
  <si>
    <t>cY4dS6wT7</t>
  </si>
  <si>
    <t>tD5pC5fC4</t>
  </si>
  <si>
    <t>dK0yY1cF5</t>
  </si>
  <si>
    <t>iO7oS5oK1</t>
  </si>
  <si>
    <t>dF1sC8kC4</t>
  </si>
  <si>
    <t>mB0hC6gN3</t>
  </si>
  <si>
    <t>dO7bE3vB6</t>
  </si>
  <si>
    <t>dF6rG1wA2</t>
  </si>
  <si>
    <t>rJ6qN8pH8</t>
  </si>
  <si>
    <t>wU8qH4bI8</t>
  </si>
  <si>
    <t>xP6bO3vU5</t>
  </si>
  <si>
    <t>bQ4cV8sS1</t>
  </si>
  <si>
    <t>pC5pL4lA4</t>
  </si>
  <si>
    <t>yA4vQ1uS1</t>
  </si>
  <si>
    <t>cV7tN7wB3</t>
  </si>
  <si>
    <t>dI6fN3tV3</t>
  </si>
  <si>
    <t>mU6sK6tD3</t>
  </si>
  <si>
    <t>mA0gW1eL7</t>
  </si>
  <si>
    <t>bS0kF7mJ2</t>
  </si>
  <si>
    <t>dX1mQ0oV5</t>
  </si>
  <si>
    <t>gV5cN4sE1</t>
  </si>
  <si>
    <t>mJ4qK1wB3</t>
  </si>
  <si>
    <t>qM0jI2pR8</t>
  </si>
  <si>
    <t>eK6uX8aF4</t>
  </si>
  <si>
    <t>mS1jI4cX4</t>
  </si>
  <si>
    <t>hY3jN3fK7</t>
  </si>
  <si>
    <t>nB4xH8tU1</t>
  </si>
  <si>
    <t>sL6eQ4rL0</t>
  </si>
  <si>
    <t>pV0cW6oX6</t>
  </si>
  <si>
    <t>jL8xD4vN3</t>
  </si>
  <si>
    <t>eS4kB5mM3</t>
  </si>
  <si>
    <t>nC5tX0lV5</t>
  </si>
  <si>
    <t>xY0aF4yG3</t>
  </si>
  <si>
    <t>qU5sJ2mP5</t>
  </si>
  <si>
    <t>mL0eR8wR6</t>
  </si>
  <si>
    <t>jO5xP4xF7</t>
  </si>
  <si>
    <t>cQ1oG7xL6</t>
  </si>
  <si>
    <t>hT8fG4aL0</t>
  </si>
  <si>
    <t>bK8jP1uQ3</t>
  </si>
  <si>
    <t>rD2jG1wK5</t>
  </si>
  <si>
    <t>wQ6pX6qA8</t>
  </si>
  <si>
    <t>rO8qB1bX6</t>
  </si>
  <si>
    <t>yV5oG2vD8</t>
  </si>
  <si>
    <t>xN0lB3sX6</t>
  </si>
  <si>
    <t>qC1jY3cD1</t>
  </si>
  <si>
    <t>dI0dG7bN6</t>
  </si>
  <si>
    <t>qE4aN1oF1</t>
  </si>
  <si>
    <t>xH5uC2yE3</t>
  </si>
  <si>
    <t>lD5kL8cB5</t>
  </si>
  <si>
    <t>wF2fX1bS2</t>
  </si>
  <si>
    <t>iY1mQ5qS2</t>
  </si>
  <si>
    <t>rX8tC3jY7</t>
  </si>
  <si>
    <t>tX2hM8kY5</t>
  </si>
  <si>
    <t>gD3rP3gG4</t>
  </si>
  <si>
    <t>oV2nC2gW6</t>
  </si>
  <si>
    <t>fG8yI4uV4</t>
  </si>
  <si>
    <t>aF2vB7kM8</t>
  </si>
  <si>
    <t>kE6yI6fN6</t>
  </si>
  <si>
    <t>wH6qL5eQ0</t>
  </si>
  <si>
    <t>qM8kG0yE8</t>
  </si>
  <si>
    <t>nB7aT7dU0</t>
  </si>
  <si>
    <t>aB3mJ2oK6</t>
  </si>
  <si>
    <t>wC6nW8mI8</t>
  </si>
  <si>
    <t>aP0vL8iY8</t>
  </si>
  <si>
    <t>uL8cA0iI7</t>
  </si>
  <si>
    <t>nD1xJ8oR8</t>
  </si>
  <si>
    <t>nR6yT5fA4</t>
  </si>
  <si>
    <t>oK8iK1cC4</t>
  </si>
  <si>
    <t>fD2mI0rE4</t>
  </si>
  <si>
    <t>tY7wR5dY2</t>
  </si>
  <si>
    <t>eV7uR6jY8</t>
  </si>
  <si>
    <t>iK6nF5oP3</t>
  </si>
  <si>
    <t>uY3sI4yC7</t>
  </si>
  <si>
    <t>wS2oP6kL3</t>
  </si>
  <si>
    <t>iS5cN0bD1</t>
  </si>
  <si>
    <t>lI1iK7lC1</t>
  </si>
  <si>
    <t>wY5oB4yS2</t>
  </si>
  <si>
    <t>eI4qM0aL3</t>
  </si>
  <si>
    <t>nT8cN7mQ3</t>
  </si>
  <si>
    <t>mX4bY7rV7</t>
  </si>
  <si>
    <t>dO3cL6fH4</t>
  </si>
  <si>
    <t>qP5hK8eK8</t>
  </si>
  <si>
    <t>fJ8wP5vP4</t>
  </si>
  <si>
    <t>wC1sR5bM5</t>
  </si>
  <si>
    <t>gC3nI6aV3</t>
  </si>
  <si>
    <t>eL2tL0kU2</t>
  </si>
  <si>
    <t>iV3xC0xC6</t>
  </si>
  <si>
    <t>fR6lL3aU4</t>
  </si>
  <si>
    <t>aI2lA4hK5</t>
  </si>
  <si>
    <t>xK3lI5aQ2</t>
  </si>
  <si>
    <t>pL1eY1bA3</t>
  </si>
  <si>
    <t>hQ0eK6xX0</t>
  </si>
  <si>
    <t>xM1yV7tO3</t>
  </si>
  <si>
    <t>iW4oO1oO5</t>
  </si>
  <si>
    <t>kF6xX0sN0</t>
  </si>
  <si>
    <t>jV5fD7fN8</t>
  </si>
  <si>
    <t>qX5oW6mW8</t>
  </si>
  <si>
    <t>bS8lE1cF2</t>
  </si>
  <si>
    <t>gR4jG1jK2</t>
  </si>
  <si>
    <t>eY1lU1iN2</t>
  </si>
  <si>
    <t>tJ8fM3cO6</t>
  </si>
  <si>
    <t>wX1rW7bK7</t>
  </si>
  <si>
    <t>xI4nN6xA3</t>
  </si>
  <si>
    <t>hG6uV6gO0</t>
  </si>
  <si>
    <t>hJ3bQ5mP7</t>
  </si>
  <si>
    <t>sM0oU8nQ8</t>
  </si>
  <si>
    <t>yY4yY5pC8</t>
  </si>
  <si>
    <t>tG1xE6pT6</t>
  </si>
  <si>
    <t>qC4nW6tI7</t>
  </si>
  <si>
    <t>fJ8eJ6iN0</t>
  </si>
  <si>
    <t>aC1tG8wW4</t>
  </si>
  <si>
    <t>fU2mF3cX8</t>
  </si>
  <si>
    <t>dB1dO8rO0</t>
  </si>
  <si>
    <t>fB0vE1cS3</t>
  </si>
  <si>
    <t>vX6gB7xB5</t>
  </si>
  <si>
    <t>sC7iR7wM3</t>
  </si>
  <si>
    <t>dN7sV7sO1</t>
  </si>
  <si>
    <t>kC1jX3tO8</t>
  </si>
  <si>
    <t>dB8bA3tV5</t>
  </si>
  <si>
    <t>oK5mG4dY8</t>
  </si>
  <si>
    <t>wM6yY5rG4</t>
  </si>
  <si>
    <t>oJ1gB3eR4</t>
  </si>
  <si>
    <t>nB7nW8gG0</t>
  </si>
  <si>
    <t>vP3gN0dS1</t>
  </si>
  <si>
    <t>lE8cR1kJ5</t>
  </si>
  <si>
    <t>bH0wY7sU3</t>
  </si>
  <si>
    <t>xD1dT6vU2</t>
  </si>
  <si>
    <t>dA6oW3pW1</t>
  </si>
  <si>
    <t>cX3rU7mQ7</t>
  </si>
  <si>
    <t>tO7eK2bK7</t>
  </si>
  <si>
    <t>pI6oX8tM2</t>
  </si>
  <si>
    <t>iE3wF3dV1</t>
  </si>
  <si>
    <t>rL7tA8oH6</t>
  </si>
  <si>
    <t>yE8bJ5eP8</t>
  </si>
  <si>
    <t>bT4xY8tQ7</t>
  </si>
  <si>
    <t>qD2hI5dK1</t>
  </si>
  <si>
    <t>uB8iN6gC7</t>
  </si>
  <si>
    <t>jE1xQ8qW2</t>
  </si>
  <si>
    <t>yP2hS3iV0</t>
  </si>
  <si>
    <t>eD2eJ6cH0</t>
  </si>
  <si>
    <t>qH4wO5pL2</t>
  </si>
  <si>
    <t>iU8cJ1nP0</t>
  </si>
  <si>
    <t>lK4pG6fA5</t>
  </si>
  <si>
    <t>fO2wE2cW4</t>
  </si>
  <si>
    <t>lP7cE3aA0</t>
  </si>
  <si>
    <t>dS8tN4hV8</t>
  </si>
  <si>
    <t>vT1sF5rQ4</t>
  </si>
  <si>
    <t>wW3mY1wL6</t>
  </si>
  <si>
    <t>gR2yK5pP4</t>
  </si>
  <si>
    <t>mT7cQ8kG6</t>
  </si>
  <si>
    <t>hB0bU1jB7</t>
  </si>
  <si>
    <t>yR3wE4dV1</t>
  </si>
  <si>
    <t>hU8vC3mD3</t>
  </si>
  <si>
    <t>cG3yG7kY6</t>
  </si>
  <si>
    <t>fI2uN8pT4</t>
  </si>
  <si>
    <t>yJ5qH5fV0</t>
  </si>
  <si>
    <t>gK0dK0kT6</t>
  </si>
  <si>
    <t>eC2uU3dV3</t>
  </si>
  <si>
    <t>wV5dP8mP4</t>
  </si>
  <si>
    <t>vG1dC4iH0</t>
  </si>
  <si>
    <t>vL0dC2jD0</t>
  </si>
  <si>
    <t>dU0pP4xQ3</t>
  </si>
  <si>
    <t>tS6xR4wP0</t>
  </si>
  <si>
    <t>tV7uT5wE3</t>
  </si>
  <si>
    <t>iB6yQ6mU3</t>
  </si>
  <si>
    <t>yA7eS0xR7</t>
  </si>
  <si>
    <t>vN6oV4jW5</t>
  </si>
  <si>
    <t>qQ8nL3tA8</t>
  </si>
  <si>
    <t>cQ4bS3cF3</t>
  </si>
  <si>
    <t>dA3vY3aB2</t>
  </si>
  <si>
    <t>xK4kB6bL7</t>
  </si>
  <si>
    <t>bK2cN1iO1</t>
  </si>
  <si>
    <t>wV3hV7iH8</t>
  </si>
  <si>
    <t>vP3oP2uT8</t>
  </si>
  <si>
    <t>qB1sP2lR8</t>
  </si>
  <si>
    <t>jN3pI8qE0</t>
  </si>
  <si>
    <t>wM2eJ6pQ1</t>
  </si>
  <si>
    <t>bB2aB4rR1</t>
  </si>
  <si>
    <t>wS5wR2oG5</t>
  </si>
  <si>
    <t>tR6oH2vG6</t>
  </si>
  <si>
    <t>tX7qV7fX1</t>
  </si>
  <si>
    <t>dY8yN5hX7</t>
  </si>
  <si>
    <t>bI0fW1tA5</t>
  </si>
  <si>
    <t>cK5mD7nM5</t>
  </si>
  <si>
    <t>vE8uU7sD7</t>
  </si>
  <si>
    <t>sU2cI4yQ6</t>
  </si>
  <si>
    <t>pO5wJ8cC6</t>
  </si>
  <si>
    <t>fX1lH7qY4</t>
  </si>
  <si>
    <t>bW8eF5xU8</t>
  </si>
  <si>
    <t>qQ8oC4rC3</t>
  </si>
  <si>
    <t>mG0rK1nX0</t>
  </si>
  <si>
    <t>gX6fI4vW4</t>
  </si>
  <si>
    <t>mV4kH7rC8</t>
  </si>
  <si>
    <t>hR8uL8pJ1</t>
  </si>
  <si>
    <t>tF8lJ0dU5</t>
  </si>
  <si>
    <t>xB0xM3yW8</t>
  </si>
  <si>
    <t>lU5kD6iR6</t>
  </si>
  <si>
    <t>qQ2xX3hS7</t>
  </si>
  <si>
    <t>gY5eM6yO7</t>
  </si>
  <si>
    <t>yD5iN3tO2</t>
  </si>
  <si>
    <t>yY6bP7wI1</t>
  </si>
  <si>
    <t>bO2sN1kN1</t>
  </si>
  <si>
    <t>tC5dF3vG7</t>
  </si>
  <si>
    <t>xS3bX8eV7</t>
  </si>
  <si>
    <t>lR3xQ1jL0</t>
  </si>
  <si>
    <t>eQ8jW3nT6</t>
  </si>
  <si>
    <t>eY6qI2nF4</t>
  </si>
  <si>
    <t>yM8pX7lC4</t>
  </si>
  <si>
    <t>kE3aW2sC0</t>
  </si>
  <si>
    <t>yG0lY6rN4</t>
  </si>
  <si>
    <t>rY0rS8nR0</t>
  </si>
  <si>
    <t>uO2yA7rL0</t>
  </si>
  <si>
    <t>pX0gR0aT3</t>
  </si>
  <si>
    <t>dU8tN5cX7</t>
  </si>
  <si>
    <t>rI7jK4dO1</t>
  </si>
  <si>
    <t>vF2mL3cK7</t>
  </si>
  <si>
    <t>vN5dL8yC5</t>
  </si>
  <si>
    <t>bL2nD0aP0</t>
  </si>
  <si>
    <t>nP2oR6hY2</t>
  </si>
  <si>
    <t>uS0vL4vC6</t>
  </si>
  <si>
    <t>jQ2rG1fJ0</t>
  </si>
  <si>
    <t>nR7gR4aX3</t>
  </si>
  <si>
    <t>hB3qT3vY5</t>
  </si>
  <si>
    <t>wY5nV6cT0</t>
  </si>
  <si>
    <t>xD8rD6yQ8</t>
  </si>
  <si>
    <t>mO0kQ4rY7</t>
  </si>
  <si>
    <t>qE0yK0pC3</t>
  </si>
  <si>
    <t>kX6dN6iE4</t>
  </si>
  <si>
    <t>sA0uF0fC2</t>
  </si>
  <si>
    <t>cB6fL8oA1</t>
  </si>
  <si>
    <t>hS6oF1kL3</t>
  </si>
  <si>
    <t>hU4xD0dP5</t>
  </si>
  <si>
    <t>fJ3iF0yR3</t>
  </si>
  <si>
    <t>vF1kU5qJ4</t>
  </si>
  <si>
    <t>yT7lA4uT7</t>
  </si>
  <si>
    <t>qG2kW7sA4</t>
  </si>
  <si>
    <t>tP0lT0pR2</t>
  </si>
  <si>
    <t>pR2uX6kR5</t>
  </si>
  <si>
    <t>cL0gU4bR2</t>
  </si>
  <si>
    <t>xR0xL8gS7</t>
  </si>
  <si>
    <t>pI1vU8wX3</t>
  </si>
  <si>
    <t>dD1mW0qV6</t>
  </si>
  <si>
    <t>mL6rG5aB1</t>
  </si>
  <si>
    <t>gR2uX0iD4</t>
  </si>
  <si>
    <t>fL0xA1yF6</t>
  </si>
  <si>
    <t>rT8mV2xQ6</t>
  </si>
  <si>
    <t>cN3wL2jK4</t>
  </si>
  <si>
    <t>bI5hV8tT3</t>
  </si>
  <si>
    <t>bW3hY8wF6</t>
  </si>
  <si>
    <t>cG0fU4vQ1</t>
  </si>
  <si>
    <t>oB6pG3bO2</t>
  </si>
  <si>
    <t>sU3qR8nQ4</t>
  </si>
  <si>
    <t>fX8gA7oL2</t>
  </si>
  <si>
    <t>lB2fT0iH7</t>
  </si>
  <si>
    <t>sA5jE1xC6</t>
  </si>
  <si>
    <t>mG2dD2pF6</t>
  </si>
  <si>
    <t>qB2gJ2uF1</t>
  </si>
  <si>
    <t>bP5wG0eR5</t>
  </si>
  <si>
    <t>fE1wO1hS1</t>
  </si>
  <si>
    <t>hV4xT7pG0</t>
  </si>
  <si>
    <t>jO2oD0vJ8</t>
  </si>
  <si>
    <t>rW2eD6aM3</t>
  </si>
  <si>
    <t>hO2xV5xE8</t>
  </si>
  <si>
    <t>xE5eP6gS3</t>
  </si>
  <si>
    <t>uF3pH1xM6</t>
  </si>
  <si>
    <t>gA6cR7jP7</t>
  </si>
  <si>
    <t>lJ0vT5iQ2</t>
  </si>
  <si>
    <t>rU1lV6tW0</t>
  </si>
  <si>
    <t>oR6vP3oG8</t>
  </si>
  <si>
    <t>dI1uM7rK8</t>
  </si>
  <si>
    <t>iU6qQ2dO6</t>
  </si>
  <si>
    <t>jU5cU3dE2</t>
  </si>
  <si>
    <t>tP2eU1xC4</t>
  </si>
  <si>
    <t>jW4sG6yL7</t>
  </si>
  <si>
    <t>xG8pH3rE1</t>
  </si>
  <si>
    <t>fC5tH5uY1</t>
  </si>
  <si>
    <t>cI1bP3uK4</t>
  </si>
  <si>
    <t>qU5sU2eA7</t>
  </si>
  <si>
    <t>hI6wH5pJ8</t>
  </si>
  <si>
    <t>cL1eG2fO2</t>
  </si>
  <si>
    <t>mD0eI3mE4</t>
  </si>
  <si>
    <t>iF4rK3fJ6</t>
  </si>
  <si>
    <t>bK7gU4fB5</t>
  </si>
  <si>
    <t>mX8fU7oQ3</t>
  </si>
  <si>
    <t>xR6yC2jF8</t>
  </si>
  <si>
    <t>rH3rD0oF6</t>
  </si>
  <si>
    <t>jV6lK8qO6</t>
  </si>
  <si>
    <t>kX8bH7bS2</t>
  </si>
  <si>
    <t>qD0mV1pR8</t>
  </si>
  <si>
    <t>gF6pC7hO1</t>
  </si>
  <si>
    <t>lX5sC1nN4</t>
  </si>
  <si>
    <t>eL3bF7dE7</t>
  </si>
  <si>
    <t>yN4rW3yH1</t>
  </si>
  <si>
    <t>tI2hY2pK8</t>
  </si>
  <si>
    <t>hG3hL6qV8</t>
  </si>
  <si>
    <t>vL1rE4oL0</t>
  </si>
  <si>
    <t>rL2aV3jS4</t>
  </si>
  <si>
    <t>tM0fF5kB8</t>
  </si>
  <si>
    <t>tO7eF8gM3</t>
  </si>
  <si>
    <t>aG6rN4uA8</t>
  </si>
  <si>
    <t>iU3bO6jG6</t>
  </si>
  <si>
    <t>hD0eM0wU0</t>
  </si>
  <si>
    <t>tV4qM6aQ6</t>
  </si>
  <si>
    <t>nD3xD4cA7</t>
  </si>
  <si>
    <t>oQ4wE5tT4</t>
  </si>
  <si>
    <t>gP5gY2nQ3</t>
  </si>
  <si>
    <t>tS5mR2wP7</t>
  </si>
  <si>
    <t>hW0nE3bL3</t>
  </si>
  <si>
    <t>lN8nT7tT4</t>
  </si>
  <si>
    <t>tJ2iJ8nD4</t>
  </si>
  <si>
    <t>gD3sS6jL3</t>
  </si>
  <si>
    <t>fS1wX2cV1</t>
  </si>
  <si>
    <t>aW5iY2bS1</t>
  </si>
  <si>
    <t>yI2lT4hQ3</t>
  </si>
  <si>
    <t>yV5jY2kQ0</t>
  </si>
  <si>
    <t>aN6gR4yW6</t>
  </si>
  <si>
    <t>wJ3tE7iQ6</t>
  </si>
  <si>
    <t>aB4uA4aX7</t>
  </si>
  <si>
    <t>kN6lQ4iI7</t>
  </si>
  <si>
    <t>cC4xQ0dI8</t>
  </si>
  <si>
    <t>rF7bH5rR6</t>
  </si>
  <si>
    <t>fO5oW3xL5</t>
  </si>
  <si>
    <t>rO0aW0qL7</t>
  </si>
  <si>
    <t>fP0nY7tI2</t>
  </si>
  <si>
    <t>tQ2nW8vF8</t>
  </si>
  <si>
    <t>cX3cE5cW0</t>
  </si>
  <si>
    <t>pE2rD6qJ5</t>
  </si>
  <si>
    <t>kS6aG0uV2</t>
  </si>
  <si>
    <t>jC6qT6tD5</t>
  </si>
  <si>
    <t>xU7xP7dN1</t>
  </si>
  <si>
    <t>aN4hP4yI6</t>
  </si>
  <si>
    <t>uK1kE7lU8</t>
  </si>
  <si>
    <t>bK1kT6lX5</t>
  </si>
  <si>
    <t>uJ2iI7gG0</t>
  </si>
  <si>
    <t>xB1jN7yA3</t>
  </si>
  <si>
    <t>aU6pU7fJ7</t>
  </si>
  <si>
    <t>bV1yG6dF7</t>
  </si>
  <si>
    <t>qJ0mL4gY2</t>
  </si>
  <si>
    <t>uE1jG8fY7</t>
  </si>
  <si>
    <t>lB3vW7vQ8</t>
  </si>
  <si>
    <t>oW5eV6rS3</t>
  </si>
  <si>
    <t>iI4yN4cV8</t>
  </si>
  <si>
    <t>uI7aB0nD5</t>
  </si>
  <si>
    <t>aX0wS1bH5</t>
  </si>
  <si>
    <t>dE3vI4lC5</t>
  </si>
  <si>
    <t>pS1mS0mW5</t>
  </si>
  <si>
    <t>hF0qY0dD1</t>
  </si>
  <si>
    <t>fP4cL1rC0</t>
  </si>
  <si>
    <t>dQ7lN6tD2</t>
  </si>
  <si>
    <t>nF1wN3hU0</t>
  </si>
  <si>
    <t>lR1sR7jH5</t>
  </si>
  <si>
    <t>wF1aD0oW1</t>
  </si>
  <si>
    <t>hK7gB0nX1</t>
  </si>
  <si>
    <t>kR3jT0lO2</t>
  </si>
  <si>
    <t>wQ3eQ5xU4</t>
  </si>
  <si>
    <t>gG8xU0rA7</t>
  </si>
  <si>
    <t>fV8aJ6pS4</t>
  </si>
  <si>
    <t>qS0rB8hJ6</t>
  </si>
  <si>
    <t>tQ4qN1wG3</t>
  </si>
  <si>
    <t>iK2wC2uT8</t>
  </si>
  <si>
    <t>vM7rB0oO3</t>
  </si>
  <si>
    <t>wJ5hJ7uN4</t>
  </si>
  <si>
    <t>tJ3sR6bP3</t>
  </si>
  <si>
    <t>uP5aK4nA0</t>
  </si>
  <si>
    <t>bP1rV2lE1</t>
  </si>
  <si>
    <t>vM5nG4bJ1</t>
  </si>
  <si>
    <t>hQ0jW4tR6</t>
  </si>
  <si>
    <t>oS1sB2hS2</t>
  </si>
  <si>
    <t>gE1vV6mY7</t>
  </si>
  <si>
    <t>mC3wO5nU0</t>
  </si>
  <si>
    <t>jL6oF3pJ6</t>
  </si>
  <si>
    <t>rQ1mU8vB3</t>
  </si>
  <si>
    <t>bA3yS4aS7</t>
  </si>
  <si>
    <t>cL4gK6cV7</t>
  </si>
  <si>
    <t>bK1rO2pL5</t>
  </si>
  <si>
    <t>wG3oX3yI3</t>
  </si>
  <si>
    <t>wR6sR7uD3</t>
  </si>
  <si>
    <t>dL5oA4nE4</t>
  </si>
  <si>
    <t>kO0aP8oJ4</t>
  </si>
  <si>
    <t>iV1pT3jI3</t>
  </si>
  <si>
    <t>xR0pH2hL4</t>
  </si>
  <si>
    <t>sA2eO7vR6</t>
  </si>
  <si>
    <t>rB7eC1mI7</t>
  </si>
  <si>
    <t>dG2xT1xU0</t>
  </si>
  <si>
    <t>sK2cM2cJ4</t>
  </si>
  <si>
    <t>cG5tR7uL0</t>
  </si>
  <si>
    <t>oT4mO0tV4</t>
  </si>
  <si>
    <t>lD1jE4pA0</t>
  </si>
  <si>
    <t>rC0dQ0gM1</t>
  </si>
  <si>
    <t>fD0iY7dS0</t>
  </si>
  <si>
    <t>xB1xP8fJ5</t>
  </si>
  <si>
    <t>hK6kJ5wO5</t>
  </si>
  <si>
    <t>hM6cO5wX1</t>
  </si>
  <si>
    <t>uL5uR4oA2</t>
  </si>
  <si>
    <t>dU3fM5gH4</t>
  </si>
  <si>
    <t>fD1dU1cU2</t>
  </si>
  <si>
    <t>mV3yX2pP6</t>
  </si>
  <si>
    <t>kW7rR2pJ3</t>
  </si>
  <si>
    <t>yH1oW4gU3</t>
  </si>
  <si>
    <t>hN2eQ4wX0</t>
  </si>
  <si>
    <t>lH8iK1yV8</t>
  </si>
  <si>
    <t>jQ4jQ5gM1</t>
  </si>
  <si>
    <t>cF5lQ5fQ5</t>
  </si>
  <si>
    <t>jU8hR8yT2</t>
  </si>
  <si>
    <t>aI6aA5lA0</t>
  </si>
  <si>
    <t>kH6pE1aS6</t>
  </si>
  <si>
    <t>jT7xJ0jY0</t>
  </si>
  <si>
    <t>wS5iH3nY8</t>
  </si>
  <si>
    <t>pU1nJ6jK3</t>
  </si>
  <si>
    <t>pH1vV0dA3</t>
  </si>
  <si>
    <t>xL7kM6bS3</t>
  </si>
  <si>
    <t>iC5tL5wR7</t>
  </si>
  <si>
    <t>qW2eP7mB5</t>
  </si>
  <si>
    <t>cG2fQ7cE8</t>
  </si>
  <si>
    <t>vH6aX2tO1</t>
  </si>
  <si>
    <t>rE3dB6uB2</t>
  </si>
  <si>
    <t>eU6gD6oW6</t>
  </si>
  <si>
    <t>pB7qU7cF8</t>
  </si>
  <si>
    <t>mO0mV6hB2</t>
  </si>
  <si>
    <t>wB6sJ4gL2</t>
  </si>
  <si>
    <t>jU2bW1aJ2</t>
  </si>
  <si>
    <t>lH6rS0lY4</t>
  </si>
  <si>
    <t>yJ7pG0mG7</t>
  </si>
  <si>
    <t>jK4gT7tW3</t>
  </si>
  <si>
    <t>yB0yH7xA2</t>
  </si>
  <si>
    <t>xT1gL0yD4</t>
  </si>
  <si>
    <t>wM6xR6mX7</t>
  </si>
  <si>
    <t>aO7xK8yK7</t>
  </si>
  <si>
    <t>fK3aR0hH3</t>
  </si>
  <si>
    <t>qA0vW5eB5</t>
  </si>
  <si>
    <t>pR4fR1mL3</t>
  </si>
  <si>
    <t>kG3hU7jH7</t>
  </si>
  <si>
    <t>kV4nS2kF7</t>
  </si>
  <si>
    <t>yL8oF5yY8</t>
  </si>
  <si>
    <t>pK3mP1qJ2</t>
  </si>
  <si>
    <t>kM3jU3vL1</t>
  </si>
  <si>
    <t>lF6kM1wE4</t>
  </si>
  <si>
    <t>tL1aM2yV4</t>
  </si>
  <si>
    <t>bA1fL1hT1</t>
  </si>
  <si>
    <t>eV2oS8tG4</t>
  </si>
  <si>
    <t>lD0pS2oM5</t>
  </si>
  <si>
    <t>eI3iC1wY4</t>
  </si>
  <si>
    <t>hQ2rY4hB5</t>
  </si>
  <si>
    <t>gH1jS0lO6</t>
  </si>
  <si>
    <t>fT6gW6wY2</t>
  </si>
  <si>
    <t>tI3xP6fF8</t>
  </si>
  <si>
    <t>lG2aO6yJ8</t>
  </si>
  <si>
    <t>wI8pV3eW4</t>
  </si>
  <si>
    <t>xT7iE1iX1</t>
  </si>
  <si>
    <t>pJ0fO5pC2</t>
  </si>
  <si>
    <t>nM4uW2gW7</t>
  </si>
  <si>
    <t>bD6mO1bE7</t>
  </si>
  <si>
    <t>rK6iY4bH6</t>
  </si>
  <si>
    <t>bL3xA2gU7</t>
  </si>
  <si>
    <t>pB2gH6uF7</t>
  </si>
  <si>
    <t>nF5eS7pM0</t>
  </si>
  <si>
    <t>cY5oK6hD2</t>
  </si>
  <si>
    <t>dU4dD1eU8</t>
  </si>
  <si>
    <t>sA8aB8fR0</t>
  </si>
  <si>
    <t>tY6iW0eR3</t>
  </si>
  <si>
    <t>nE6vD8qY3</t>
  </si>
  <si>
    <t>iG2xU2hP8</t>
  </si>
  <si>
    <t>yS0cC8bI7</t>
  </si>
  <si>
    <t>oA0fH4mR5</t>
  </si>
  <si>
    <t>tS1nK7qK1</t>
  </si>
  <si>
    <t>qR1cH2nF7</t>
  </si>
  <si>
    <t>yO6yB6gV2</t>
  </si>
  <si>
    <t>qW2lI1lE0</t>
  </si>
  <si>
    <t>jP1cS2yM5</t>
  </si>
  <si>
    <t>rB6aE5dB2</t>
  </si>
  <si>
    <t>nH3jL6fR0</t>
  </si>
  <si>
    <t>lF2lF7tD2</t>
  </si>
  <si>
    <t>jH1iP2dC5</t>
  </si>
  <si>
    <t>rO5xQ1fM1</t>
  </si>
  <si>
    <t>nH5dH7dR2</t>
  </si>
  <si>
    <t>pN8cG2aH7</t>
  </si>
  <si>
    <t>qG0lP3aL6</t>
  </si>
  <si>
    <t>bK6qF6bP1</t>
  </si>
  <si>
    <t>yI2bF1iS2</t>
  </si>
  <si>
    <t>tY8mK5cU7</t>
  </si>
  <si>
    <t>xJ0hG3qM8</t>
  </si>
  <si>
    <t>gC5lK7oT0</t>
  </si>
  <si>
    <t>wB2rY3oH4</t>
  </si>
  <si>
    <t>wK3qE3yW3</t>
  </si>
  <si>
    <t>lB3nY5xC1</t>
  </si>
  <si>
    <t>dB0rU2qD6</t>
  </si>
  <si>
    <t>oE7aJ8fD1</t>
  </si>
  <si>
    <t>kG3xW2cJ8</t>
  </si>
  <si>
    <t>pY8eT4tE2</t>
  </si>
  <si>
    <t>eP3xX0bO8</t>
  </si>
  <si>
    <t>cK4uH5bV0</t>
  </si>
  <si>
    <t>uJ7tP4pF0</t>
  </si>
  <si>
    <t>rA2kV0mY2</t>
  </si>
  <si>
    <t>jP5xA5vR2</t>
  </si>
  <si>
    <t>mM8pQ7dR8</t>
  </si>
  <si>
    <t>sH5vC3wT1</t>
  </si>
  <si>
    <t>fJ1nP3cG4</t>
  </si>
  <si>
    <t>hJ3oX4uC0</t>
  </si>
  <si>
    <t>dX3tA2bK0</t>
  </si>
  <si>
    <t>jT3dR7hY2</t>
  </si>
  <si>
    <t>nX1gS7aQ4</t>
  </si>
  <si>
    <t>mN3uC1uO5</t>
  </si>
  <si>
    <t>cF4oH0gN8</t>
  </si>
  <si>
    <t>nW5mV4uU6</t>
  </si>
  <si>
    <t>cT1aM5cU5</t>
  </si>
  <si>
    <t>eI2qA1bB3</t>
  </si>
  <si>
    <t>vB8lN7uN1</t>
  </si>
  <si>
    <t>fU7kV7sO1</t>
  </si>
  <si>
    <t>fW4xP2vO3</t>
  </si>
  <si>
    <t>iR2dC0aG8</t>
  </si>
  <si>
    <t>sF1jH8jN8</t>
  </si>
  <si>
    <t>nV2xR1qB6</t>
  </si>
  <si>
    <t>xN7wI6dJ4</t>
  </si>
  <si>
    <t>rV7oL4hS0</t>
  </si>
  <si>
    <t>lH8oV2mB5</t>
  </si>
  <si>
    <t>pS1wJ1rA3</t>
  </si>
  <si>
    <t>xH2sI1eI0</t>
  </si>
  <si>
    <t>iE3bX8xL5</t>
  </si>
  <si>
    <t>vI6uR0vA4</t>
  </si>
  <si>
    <t>uO6bY6dF1</t>
  </si>
  <si>
    <t>sB3lV0tI2</t>
  </si>
  <si>
    <t>nP6rI7vV5</t>
  </si>
  <si>
    <t>uH4aV3rM3</t>
  </si>
  <si>
    <t>hS8pW1pG4</t>
  </si>
  <si>
    <t>yS1jY7lM1</t>
  </si>
  <si>
    <t>kV3wU3rS7</t>
  </si>
  <si>
    <t>jX5aU5xA3</t>
  </si>
  <si>
    <t>dX3tS0pP6</t>
  </si>
  <si>
    <t>gH1yV5yO6</t>
  </si>
  <si>
    <t>lO2jY0lJ6</t>
  </si>
  <si>
    <t>fA5kJ7wM0</t>
  </si>
  <si>
    <t>aC2lW0iP5</t>
  </si>
  <si>
    <t>vB5pT1nP3</t>
  </si>
  <si>
    <t>hO4iR8bA0</t>
  </si>
  <si>
    <t>fD1iH1sC5</t>
  </si>
  <si>
    <t>cQ0mP5sQ5</t>
  </si>
  <si>
    <t>nI6bV1gH5</t>
  </si>
  <si>
    <t>wW4vP6cB1</t>
  </si>
  <si>
    <t>sG4lY1hH2</t>
  </si>
  <si>
    <t>lO5eB6kX2</t>
  </si>
  <si>
    <t>lX1nS4iP4</t>
  </si>
  <si>
    <t>sK0rM7hA8</t>
  </si>
  <si>
    <t>rG6pL5hL7</t>
  </si>
  <si>
    <t>fO2eO4aF2</t>
  </si>
  <si>
    <t>yJ2jB3rV3</t>
  </si>
  <si>
    <t>jF0xN0eO6</t>
  </si>
  <si>
    <t>lY8vW6pC7</t>
  </si>
  <si>
    <t>dI8iW4dM6</t>
  </si>
  <si>
    <t>nO7gY6oU8</t>
  </si>
  <si>
    <t>kO1wY2fO0</t>
  </si>
  <si>
    <t>sT2yW8gI4</t>
  </si>
  <si>
    <t>dD1uC8jH2</t>
  </si>
  <si>
    <t>jW5gY8yF0</t>
  </si>
  <si>
    <t>xD0cU7iX8</t>
  </si>
  <si>
    <t>jW6eL4pP0</t>
  </si>
  <si>
    <t>lJ3mQ4wW4</t>
  </si>
  <si>
    <t>bI0qG5cB5</t>
  </si>
  <si>
    <t>oP4mI1yQ7</t>
  </si>
  <si>
    <t>hF6aY5gJ6</t>
  </si>
  <si>
    <t>nA7nT1sN1</t>
  </si>
  <si>
    <t>cD3dU6wB4</t>
  </si>
  <si>
    <t>lV8rU4fD6</t>
  </si>
  <si>
    <t>gF7uO1oO5</t>
  </si>
  <si>
    <t>uR2pN7cD4</t>
  </si>
  <si>
    <t>sW7bT3tT3</t>
  </si>
  <si>
    <t>aC6fA4wD4</t>
  </si>
  <si>
    <t>oR4wQ6oB6</t>
  </si>
  <si>
    <t>iR8kE8cI4</t>
  </si>
  <si>
    <t>pY2kS5eC2</t>
  </si>
  <si>
    <t>rW4eE1fC5</t>
  </si>
  <si>
    <t>yE5hL7yG1</t>
  </si>
  <si>
    <t>tM0bX0oD1</t>
  </si>
  <si>
    <t>oW7yN6fN7</t>
  </si>
  <si>
    <t>jQ0qX5oV0</t>
  </si>
  <si>
    <t>iL1vX6nA3</t>
  </si>
  <si>
    <t>cA4xG2aU4</t>
  </si>
  <si>
    <t>oC4cI2jX5</t>
  </si>
  <si>
    <t>fT5wF3uU3</t>
  </si>
  <si>
    <t>dV8bX7oU2</t>
  </si>
  <si>
    <t>pM5fY5oY2</t>
  </si>
  <si>
    <t>mO2oK2jA6</t>
  </si>
  <si>
    <t>uW4dX4nF4</t>
  </si>
  <si>
    <t>kL5cP1tU4</t>
  </si>
  <si>
    <t>wF0bM1uJ0</t>
  </si>
  <si>
    <t>jV1tI2eL6</t>
  </si>
  <si>
    <t>aX4mA6bG4</t>
  </si>
  <si>
    <t>gP7qF1lR8</t>
  </si>
  <si>
    <t>kJ4bO7eK0</t>
  </si>
  <si>
    <t>lY6dO5sJ2</t>
  </si>
  <si>
    <t>aI5eT3eU8</t>
  </si>
  <si>
    <t>oY1mX0jH0</t>
  </si>
  <si>
    <t>lF6uQ3oS3</t>
  </si>
  <si>
    <t>xD3lJ4uW5</t>
  </si>
  <si>
    <t>uQ0bI7fX6</t>
  </si>
  <si>
    <t>kF8oH7vN7</t>
  </si>
  <si>
    <t>nY4dK8iH5</t>
  </si>
  <si>
    <t>pF0fQ1uB1</t>
  </si>
  <si>
    <t>qS3xM4sQ3</t>
  </si>
  <si>
    <t>jA6jB7dU6</t>
  </si>
  <si>
    <t>uB2cL4aG5</t>
  </si>
  <si>
    <t>vS2iI7yU6</t>
  </si>
  <si>
    <t>qP2wU4jS3</t>
  </si>
  <si>
    <t>eR5mO6sP6</t>
  </si>
  <si>
    <t>rH0fA7mQ2</t>
  </si>
  <si>
    <t>lK0pV6iR6</t>
  </si>
  <si>
    <t>xN2lP0lQ5</t>
  </si>
  <si>
    <t>oU6iM2wO0</t>
  </si>
  <si>
    <t>mJ6sR7iU0</t>
  </si>
  <si>
    <t>uH4dJ3bB3</t>
  </si>
  <si>
    <t>rQ3eM6oX1</t>
  </si>
  <si>
    <t>dC2bU7qD4</t>
  </si>
  <si>
    <t>tK5lK4bM5</t>
  </si>
  <si>
    <t>vH1mU4kW4</t>
  </si>
  <si>
    <t>iR0qE1rR4</t>
  </si>
  <si>
    <t>vR2mT1lM4</t>
  </si>
  <si>
    <t>gD7uC4iQ8</t>
  </si>
  <si>
    <t>kX6oO0xD7</t>
  </si>
  <si>
    <t>wO0dX6bC4</t>
  </si>
  <si>
    <t>oT3vC2pY7</t>
  </si>
  <si>
    <t>kR1lF3aI8</t>
  </si>
  <si>
    <t>pX5gA8rX8</t>
  </si>
  <si>
    <t>kW5jK7mS8</t>
  </si>
  <si>
    <t>fL8sJ5yD4</t>
  </si>
  <si>
    <t>hU7cK7uW8</t>
  </si>
  <si>
    <t>gR6lV6wO5</t>
  </si>
  <si>
    <t>kR1oX4fI8</t>
  </si>
  <si>
    <t>kC2wG8kX4</t>
  </si>
  <si>
    <t>vR1uY6gN7</t>
  </si>
  <si>
    <t>cD3iB8kN8</t>
  </si>
  <si>
    <t>wP7fB0jL8</t>
  </si>
  <si>
    <t>hX7pB3hO2</t>
  </si>
  <si>
    <t>dK7cM0uK3</t>
  </si>
  <si>
    <t>pM8uV3gI4</t>
  </si>
  <si>
    <t>tT4xS5mI5</t>
  </si>
  <si>
    <t>dX5dF6rI6</t>
  </si>
  <si>
    <t>kG3qS2lN6</t>
  </si>
  <si>
    <t>oY3jO6vP3</t>
  </si>
  <si>
    <t>fX3lB6xC2</t>
  </si>
  <si>
    <t>iG1oI2xI1</t>
  </si>
  <si>
    <t>vN2tD0kC5</t>
  </si>
  <si>
    <t>yK1oQ4mL1</t>
  </si>
  <si>
    <t>jT7bB6kV5</t>
  </si>
  <si>
    <t>cX3dO5hH1</t>
  </si>
  <si>
    <t>qD3gL3nE7</t>
  </si>
  <si>
    <t>vW1hO6bI1</t>
  </si>
  <si>
    <t>hT5vS5gC2</t>
  </si>
  <si>
    <t>oV5pR1wX2</t>
  </si>
  <si>
    <t>gS3uV5rN0</t>
  </si>
  <si>
    <t>jL1vJ3lO8</t>
  </si>
  <si>
    <t>lD7jH6yL5</t>
  </si>
  <si>
    <t>mQ0nL5iY1</t>
  </si>
  <si>
    <t>mI8nW6uW0</t>
  </si>
  <si>
    <t>kL1cI0gU5</t>
  </si>
  <si>
    <t>vK5jM6sK2</t>
  </si>
  <si>
    <t>vM7nP1vI3</t>
  </si>
  <si>
    <t>hM4oP0kE2</t>
  </si>
  <si>
    <t>cP7wM2cK8</t>
  </si>
  <si>
    <t>vR7vV2wV7</t>
  </si>
  <si>
    <t>gT7sR1qL0</t>
  </si>
  <si>
    <t>tW4fE5fI2</t>
  </si>
  <si>
    <t>mF1rE7nD3</t>
  </si>
  <si>
    <t>eO8gU0sW5</t>
  </si>
  <si>
    <t>qX6aQ8lX3</t>
  </si>
  <si>
    <t>tG0cG5lR2</t>
  </si>
  <si>
    <t>mO7bK7eU8</t>
  </si>
  <si>
    <t>iA4wV0cH6</t>
  </si>
  <si>
    <t>tL3cX2kV3</t>
  </si>
  <si>
    <t>jS7rL8iD1</t>
  </si>
  <si>
    <t>oW3aL1vY6</t>
  </si>
  <si>
    <t>tO5yY6sJ8</t>
  </si>
  <si>
    <t>vL8xC0kX6</t>
  </si>
  <si>
    <t>kO2xL8mE7</t>
  </si>
  <si>
    <t>cD6iW6eF2</t>
  </si>
  <si>
    <t>uK5lT8dM1</t>
  </si>
  <si>
    <t>xD0xQ4pQ7</t>
  </si>
  <si>
    <t>oF7pK4wK3</t>
  </si>
  <si>
    <t>lA1lW8pB3</t>
  </si>
  <si>
    <t>vV8eO7qX7</t>
  </si>
  <si>
    <t>jC3rW4hI7</t>
  </si>
  <si>
    <t>nG7oO0hC0</t>
  </si>
  <si>
    <t>uN6tM6bE5</t>
  </si>
  <si>
    <t>jQ8pW2eX0</t>
  </si>
  <si>
    <t>rS5jH8iD3</t>
  </si>
  <si>
    <t>qF7lG4iL4</t>
  </si>
  <si>
    <t>kS7gV2oK2</t>
  </si>
  <si>
    <t>nX2kA1mX2</t>
  </si>
  <si>
    <t>cD8yR4pF2</t>
  </si>
  <si>
    <t>jS7gR3vR2</t>
  </si>
  <si>
    <t>fS1dW1oJ8</t>
  </si>
  <si>
    <t>rF1fH3wD1</t>
  </si>
  <si>
    <t>iN7kV6bN0</t>
  </si>
  <si>
    <t>cN7vO5hB2</t>
  </si>
  <si>
    <t>jG5nX1gS0</t>
  </si>
  <si>
    <t>oV0pN7vD8</t>
  </si>
  <si>
    <t>aA1nM4cY8</t>
  </si>
  <si>
    <t>kG4fB7bS2</t>
  </si>
  <si>
    <t>oW1iV2xV1</t>
  </si>
  <si>
    <t>aW8yJ2rQ7</t>
  </si>
  <si>
    <t>cE2aT1uD1</t>
  </si>
  <si>
    <t>jM7iP3oS7</t>
  </si>
  <si>
    <t>nU0kP0dW3</t>
  </si>
  <si>
    <t>qL4xM1nU0</t>
  </si>
  <si>
    <t>yV1gV5oM4</t>
  </si>
  <si>
    <t>cD6eN4bH3</t>
  </si>
  <si>
    <t>sA6iX1hN4</t>
  </si>
  <si>
    <t>oX5gQ7mE1</t>
  </si>
  <si>
    <t>eN7lQ4iO4</t>
  </si>
  <si>
    <t>wW4xH5rD6</t>
  </si>
  <si>
    <t>sV6nL2aR2</t>
  </si>
  <si>
    <t>cI1vV7vB3</t>
  </si>
  <si>
    <t>pU7bI6tM4</t>
  </si>
  <si>
    <t>gS0dU6eF4</t>
  </si>
  <si>
    <t>lI6gC8nC3</t>
  </si>
  <si>
    <t>aE7pY8hR7</t>
  </si>
  <si>
    <t>bX4xB2aA5</t>
  </si>
  <si>
    <t>fD8rH8aC4</t>
  </si>
  <si>
    <t>lO4fB7yL4</t>
  </si>
  <si>
    <t>pY7fM6yH6</t>
  </si>
  <si>
    <t>lI0nR7xV2</t>
  </si>
  <si>
    <t>fF6xF0nT0</t>
  </si>
  <si>
    <t>jE6jW6wA5</t>
  </si>
  <si>
    <t>jH8tX7wV3</t>
  </si>
  <si>
    <t>sB4sK6jR0</t>
  </si>
  <si>
    <t>jQ2lK3fS8</t>
  </si>
  <si>
    <t>sW6sK1uN2</t>
  </si>
  <si>
    <t>hY6hS5tF2</t>
  </si>
  <si>
    <t>fX5hJ4jY0</t>
  </si>
  <si>
    <t>wB6uL3hX8</t>
  </si>
  <si>
    <t>uV5oL5rW1</t>
  </si>
  <si>
    <t>cN4nL4kH6</t>
  </si>
  <si>
    <t>kA5nN6nT8</t>
  </si>
  <si>
    <t>pJ5gC4yD7</t>
  </si>
  <si>
    <t>qT3lT7pD4</t>
  </si>
  <si>
    <t>gO5bB8vN2</t>
  </si>
  <si>
    <t>iG4qQ0qH0</t>
  </si>
  <si>
    <t>dJ4tY1oR6</t>
  </si>
  <si>
    <t>uA0vX3dJ2</t>
  </si>
  <si>
    <t>eQ8mT7jY8</t>
  </si>
  <si>
    <t>pC6yK4dJ3</t>
  </si>
  <si>
    <t>oE4kV1hI2</t>
  </si>
  <si>
    <t>iN8sY4dD7</t>
  </si>
  <si>
    <t>pH3fN4eU8</t>
  </si>
  <si>
    <t>mA3vB2sO1</t>
  </si>
  <si>
    <t>aA8aH4jG3</t>
  </si>
  <si>
    <t>rY8kA2pT5</t>
  </si>
  <si>
    <t>vV2fC2rN3</t>
  </si>
  <si>
    <t>rY6cX4uJ3</t>
  </si>
  <si>
    <t>eM2fG6bS0</t>
  </si>
  <si>
    <t>oR8bP5bQ8</t>
  </si>
  <si>
    <t>rG5cO0tR0</t>
  </si>
  <si>
    <t>kN0mP4jP7</t>
  </si>
  <si>
    <t>aB5bT3mJ8</t>
  </si>
  <si>
    <t>vE7xN8jH6</t>
  </si>
  <si>
    <t>gE1mY3aU0</t>
  </si>
  <si>
    <t>rJ2cD2rS1</t>
  </si>
  <si>
    <t>xE1bW5uL4</t>
  </si>
  <si>
    <t>iQ1kN4hK5</t>
  </si>
  <si>
    <t>iW7aK4nY6</t>
  </si>
  <si>
    <t>uS7yK1pO4</t>
  </si>
  <si>
    <t>hT2eR4oO7</t>
  </si>
  <si>
    <t>iJ3uK5tQ0</t>
  </si>
  <si>
    <t>mG0sM1fS8</t>
  </si>
  <si>
    <t>kR4pC8hO3</t>
  </si>
  <si>
    <t>xQ2iS7eQ1</t>
  </si>
  <si>
    <t>jV1yV1rG6</t>
  </si>
  <si>
    <t>kF8lY6uH5</t>
  </si>
  <si>
    <t>vN7pC6gW7</t>
  </si>
  <si>
    <t>bH3tT1nG5</t>
  </si>
  <si>
    <t>dU8vN7hT5</t>
  </si>
  <si>
    <t>gK1oL2qN3</t>
  </si>
  <si>
    <t>vQ6rI1vJ0</t>
  </si>
  <si>
    <t>aS1hC2oG7</t>
  </si>
  <si>
    <t>mL2nT1rD4</t>
  </si>
  <si>
    <t>qS5pX7mN0</t>
  </si>
  <si>
    <t>sF1cY4rD6</t>
  </si>
  <si>
    <t>bJ7aI5kC6</t>
  </si>
  <si>
    <t>vK0dA4dG7</t>
  </si>
  <si>
    <t>wJ0qS2dF5</t>
  </si>
  <si>
    <t>fI1lV2kG5</t>
  </si>
  <si>
    <t>tC4kY4iL4</t>
  </si>
  <si>
    <t>hT1eQ5yM1</t>
  </si>
  <si>
    <t>vU8kO7nV8</t>
  </si>
  <si>
    <t>bK8wY0vY3</t>
  </si>
  <si>
    <t>sT7bR0lQ1</t>
  </si>
  <si>
    <t>dW0mF1xI2</t>
  </si>
  <si>
    <t>sC3hV4cU3</t>
  </si>
  <si>
    <t>wD7vT7hP7</t>
  </si>
  <si>
    <t>kU3jS4xV6</t>
  </si>
  <si>
    <t>aM2bU2uM8</t>
  </si>
  <si>
    <t>aX1vS1xW2</t>
  </si>
  <si>
    <t>xW0cW5xI4</t>
  </si>
  <si>
    <t>jO3nP3iF7</t>
  </si>
  <si>
    <t>sX5vC6aP2</t>
  </si>
  <si>
    <t>tD2mR0uO4</t>
  </si>
  <si>
    <t>lF0oY2qG7</t>
  </si>
  <si>
    <t>uT5tJ5hK5</t>
  </si>
  <si>
    <t>aO0bL0pO0</t>
  </si>
  <si>
    <t>nD0lG8rC3</t>
  </si>
  <si>
    <t>uQ0yL2uH8</t>
  </si>
  <si>
    <t>hT5aM3sC7</t>
  </si>
  <si>
    <t>eP4xS2bM0</t>
  </si>
  <si>
    <t>iH6yQ1yY0</t>
  </si>
  <si>
    <t>iG2cI7yQ5</t>
  </si>
  <si>
    <t>pU6eM1xO3</t>
  </si>
  <si>
    <t>qC8wK8tW7</t>
  </si>
  <si>
    <t>hW7cC8iP8</t>
  </si>
  <si>
    <t>iB5uE3hR6</t>
  </si>
  <si>
    <t>jO5bM7fO1</t>
  </si>
  <si>
    <t>iP5wY5eT6</t>
  </si>
  <si>
    <t>xP2xD2gR3</t>
  </si>
  <si>
    <t>wT8sH2cM3</t>
  </si>
  <si>
    <t>uN6kC7qL4</t>
  </si>
  <si>
    <t>wL3jC0wB6</t>
  </si>
  <si>
    <t>wC1gY8rN1</t>
  </si>
  <si>
    <t>cR5dN3pC4</t>
  </si>
  <si>
    <t>uS3jD6eB6</t>
  </si>
  <si>
    <t>rB0rC8nU6</t>
  </si>
  <si>
    <t>gG6kE0sB3</t>
  </si>
  <si>
    <t>aU8yG3yT5</t>
  </si>
  <si>
    <t>lJ0vI2eU6</t>
  </si>
  <si>
    <t>cS6yM8tI5</t>
  </si>
  <si>
    <t>wH8kM5vA5</t>
  </si>
  <si>
    <t>yR3nI3xU2</t>
  </si>
  <si>
    <t>cN4mK5jY5</t>
  </si>
  <si>
    <t>pI3gA3sO1</t>
  </si>
  <si>
    <t>qX7uV1aN1</t>
  </si>
  <si>
    <t>tN8iF3jK3</t>
  </si>
  <si>
    <t>rK5qC8lS5</t>
  </si>
  <si>
    <t>xQ1rR1dT4</t>
  </si>
  <si>
    <t>sG8eM7nQ7</t>
  </si>
  <si>
    <t>fU0pO3hN2</t>
  </si>
  <si>
    <t>rW0mV0lB0</t>
  </si>
  <si>
    <t>tB8eC6uP1</t>
  </si>
  <si>
    <t>lX4qX4bY8</t>
  </si>
  <si>
    <t>xT2sT5tK7</t>
  </si>
  <si>
    <t>jO5oC4oI5</t>
  </si>
  <si>
    <t>lT7sY7pI6</t>
  </si>
  <si>
    <t>eE3rI0uG5</t>
  </si>
  <si>
    <t>cM2fG7sY3</t>
  </si>
  <si>
    <t>aH7cD2yY0</t>
  </si>
  <si>
    <t>jX0wD6rD6</t>
  </si>
  <si>
    <t>dI1eL7yQ8</t>
  </si>
  <si>
    <t>tK4qN7aP1</t>
  </si>
  <si>
    <t>bJ7xJ6wQ7</t>
  </si>
  <si>
    <t>pR2vA6xA0</t>
  </si>
  <si>
    <t>uX8nQ5cW1</t>
  </si>
  <si>
    <t>iI6sJ0cW2</t>
  </si>
  <si>
    <t>bQ6eX2bV5</t>
  </si>
  <si>
    <t>hP1hG3hC3</t>
  </si>
  <si>
    <t>xT0xM7gA4</t>
  </si>
  <si>
    <t>dF6cD4yJ2</t>
  </si>
  <si>
    <t>nH8aU6tD0</t>
  </si>
  <si>
    <t>eX4tR6jW5</t>
  </si>
  <si>
    <t>jX5gV0fC0</t>
  </si>
  <si>
    <t>nI6gP6uW6</t>
  </si>
  <si>
    <t>bR3wS3oC6</t>
  </si>
  <si>
    <t>nL3oX7oN6</t>
  </si>
  <si>
    <t>lL1aS8vM0</t>
  </si>
  <si>
    <t>nN3eI4jY6</t>
  </si>
  <si>
    <t>kN0bR3kT0</t>
  </si>
  <si>
    <t>yJ7xS7sT6</t>
  </si>
  <si>
    <t>wI5tY5pQ2</t>
  </si>
  <si>
    <t>oV2pM4gL4</t>
  </si>
  <si>
    <t>qQ5lW7yQ8</t>
  </si>
  <si>
    <t>iX3uX7xE0</t>
  </si>
  <si>
    <t>fE0fA5wQ7</t>
  </si>
  <si>
    <t>bN7iJ4gC6</t>
  </si>
  <si>
    <t>qB2kL8tI2</t>
  </si>
  <si>
    <t>qF2cM4vO0</t>
  </si>
  <si>
    <t>gI8rE5uG1</t>
  </si>
  <si>
    <t>eR0bC5oU0</t>
  </si>
  <si>
    <t>sD4gD3oY6</t>
  </si>
  <si>
    <t>cA0cJ4kJ6</t>
  </si>
  <si>
    <t>fT8qO1qP6</t>
  </si>
  <si>
    <t>xD8fV2lI0</t>
  </si>
  <si>
    <t>hK3bU3qN5</t>
  </si>
  <si>
    <t>eL0vC3vK7</t>
  </si>
  <si>
    <t>eG8lU7cN2</t>
  </si>
  <si>
    <t>iE8xC4uM4</t>
  </si>
  <si>
    <t>wP4aU2iJ0</t>
  </si>
  <si>
    <t>iY3aY6fY8</t>
  </si>
  <si>
    <t>nS8cE7mF8</t>
  </si>
  <si>
    <t>xY0aF5fH4</t>
  </si>
  <si>
    <t>kL2qD1lO5</t>
  </si>
  <si>
    <t>iA3tQ6hG7</t>
  </si>
  <si>
    <t>mI0uP5hA5</t>
  </si>
  <si>
    <t>dB3iE3fU1</t>
  </si>
  <si>
    <t>vS2tO8wQ4</t>
  </si>
  <si>
    <t>aJ0uW1hE4</t>
  </si>
  <si>
    <t>vG2sY3sW5</t>
  </si>
  <si>
    <t>kW1qB7iM4</t>
  </si>
  <si>
    <t>rH3qX5tG4</t>
  </si>
  <si>
    <t>qO7iH0mG5</t>
  </si>
  <si>
    <t>jR2oQ8bG5</t>
  </si>
  <si>
    <t>hV2iI6rV0</t>
  </si>
  <si>
    <t>bO5qI2mW8</t>
  </si>
  <si>
    <t>nD5gF7lG6</t>
  </si>
  <si>
    <t>oL0gV1wU4</t>
  </si>
  <si>
    <t>hM8bI5uW5</t>
  </si>
  <si>
    <t>iQ7aL5kP2</t>
  </si>
  <si>
    <t>tW5wW5jK4</t>
  </si>
  <si>
    <t>dE3gH6sB2</t>
  </si>
  <si>
    <t>nC4iO8yX4</t>
  </si>
  <si>
    <t>mD4vW6sI5</t>
  </si>
  <si>
    <t>tT1yL7uC8</t>
  </si>
  <si>
    <t>pR2rY1xV0</t>
  </si>
  <si>
    <t>uY8aL6mT2</t>
  </si>
  <si>
    <t>kI4yN7mP8</t>
  </si>
  <si>
    <t>fF8kS1kG6</t>
  </si>
  <si>
    <t>cB2nR4yW3</t>
  </si>
  <si>
    <t>wP4sF8tS4</t>
  </si>
  <si>
    <t>dD2iQ1jM4</t>
  </si>
  <si>
    <t>rY7qH2aH3</t>
  </si>
  <si>
    <t>cI0cW0xG7</t>
  </si>
  <si>
    <t>xC2kL2hY8</t>
  </si>
  <si>
    <t>oJ1yF0nH4</t>
  </si>
  <si>
    <t>eM4wU4qF5</t>
  </si>
  <si>
    <t>jA6jE5bV8</t>
  </si>
  <si>
    <t>nS4kP5jH2</t>
  </si>
  <si>
    <t>cC5kD1gR7</t>
  </si>
  <si>
    <t>pI8oT3mR1</t>
  </si>
  <si>
    <t>hR3uW2xK4</t>
  </si>
  <si>
    <t>aH0jR3mN2</t>
  </si>
  <si>
    <t>jW0hN2qR1</t>
  </si>
  <si>
    <t>aB3iN7wU7</t>
  </si>
  <si>
    <t>jS7gP3pG7</t>
  </si>
  <si>
    <t>mR8uR2iM4</t>
  </si>
  <si>
    <t>yD8eE0rC4</t>
  </si>
  <si>
    <t>kS0wC3jI6</t>
  </si>
  <si>
    <t>nP2cT6jC1</t>
  </si>
  <si>
    <t>pA2jR6nO5</t>
  </si>
  <si>
    <t>hO3vA0mB0</t>
  </si>
  <si>
    <t>mO7tJ2wS1</t>
  </si>
  <si>
    <t>rA6fN1aE7</t>
  </si>
  <si>
    <t>eM1nG8hB0</t>
  </si>
  <si>
    <t>oB7lY1hG5</t>
  </si>
  <si>
    <t>jU2fL6wX2</t>
  </si>
  <si>
    <t>wK3jN8vV4</t>
  </si>
  <si>
    <t>cS3eB8hD1</t>
  </si>
  <si>
    <t>wE4vP3aO7</t>
  </si>
  <si>
    <t>lT2aX1vS3</t>
  </si>
  <si>
    <t>vB7nQ6sD0</t>
  </si>
  <si>
    <t>pV3cF5jB3</t>
  </si>
  <si>
    <t>fO7eP7rJ6</t>
  </si>
  <si>
    <t>rF5sM0nU8</t>
  </si>
  <si>
    <t>qY6sL4xS3</t>
  </si>
  <si>
    <t>oM0iK2qL6</t>
  </si>
  <si>
    <t>rM3pS8cY2</t>
  </si>
  <si>
    <t>qX0rD1nB0</t>
  </si>
  <si>
    <t>hU8lU1fN5</t>
  </si>
  <si>
    <t>eU8tL8tJ0</t>
  </si>
  <si>
    <t>cL4wQ4kH4</t>
  </si>
  <si>
    <t>rC0cX1jP0</t>
  </si>
  <si>
    <t>mK4vA6gH4</t>
  </si>
  <si>
    <t>aL6wV2iC2</t>
  </si>
  <si>
    <t>vV7sV7eQ8</t>
  </si>
  <si>
    <t>hM4gB5pT8</t>
  </si>
  <si>
    <t>nU2dV8jD6</t>
  </si>
  <si>
    <t>hE3nJ4sH7</t>
  </si>
  <si>
    <t>kT1lP7eC1</t>
  </si>
  <si>
    <t>tO8iD4gD8</t>
  </si>
  <si>
    <t>kX4oX5iR2</t>
  </si>
  <si>
    <t>vT6dO0pO8</t>
  </si>
  <si>
    <t>iT7jA8uJ0</t>
  </si>
  <si>
    <t>uD1tA6tX0</t>
  </si>
  <si>
    <t>kJ0gF3lN7</t>
  </si>
  <si>
    <t>eX3uH4aU2</t>
  </si>
  <si>
    <t>jP6fM5eI2</t>
  </si>
  <si>
    <t>rW6rH3yI6</t>
  </si>
  <si>
    <t>xG4yS8fI2</t>
  </si>
  <si>
    <t>jX1gL5hT5</t>
  </si>
  <si>
    <t>aY1aF5cQ7</t>
  </si>
  <si>
    <t>oO1mW4nJ8</t>
  </si>
  <si>
    <t>eI6yQ2dD2</t>
  </si>
  <si>
    <t>iI3dV2rN7</t>
  </si>
  <si>
    <t>fS0hC0nY2</t>
  </si>
  <si>
    <t>lR2jU3lA5</t>
  </si>
  <si>
    <t>cK5lU6qI2</t>
  </si>
  <si>
    <t>xU4cK1uR0</t>
  </si>
  <si>
    <t>bQ1eF1aI2</t>
  </si>
  <si>
    <t>hH5gV6yR1</t>
  </si>
  <si>
    <t>dX5dS5dU1</t>
  </si>
  <si>
    <t>yJ1iL7iE7</t>
  </si>
  <si>
    <t>xQ4hD7wT3</t>
  </si>
  <si>
    <t>mE1iR4vC4</t>
  </si>
  <si>
    <t>nB8dB1rM7</t>
  </si>
  <si>
    <t>iK6yN5oM2</t>
  </si>
  <si>
    <t>bF5tM3tR3</t>
  </si>
  <si>
    <t>vI5vS3aI4</t>
  </si>
  <si>
    <t>tD1xH5yP0</t>
  </si>
  <si>
    <t>aE0tV6sX0</t>
  </si>
  <si>
    <t>kM6lL7kC0</t>
  </si>
  <si>
    <t>xA4tH2uF6</t>
  </si>
  <si>
    <t>dU7iW8kL4</t>
  </si>
  <si>
    <t>iT1xN0mO1</t>
  </si>
  <si>
    <t>mL6kX8jF2</t>
  </si>
  <si>
    <t>eJ0pV7cO7</t>
  </si>
  <si>
    <t>vS4pR7iB4</t>
  </si>
  <si>
    <t>jT1oA2iQ3</t>
  </si>
  <si>
    <t>kH3fG4gQ2</t>
  </si>
  <si>
    <t>uO2nH3oL7</t>
  </si>
  <si>
    <t>uA6rO2bU5</t>
  </si>
  <si>
    <t>yC7dQ3sH7</t>
  </si>
  <si>
    <t>yT2uH8uJ4</t>
  </si>
  <si>
    <t>eS8vT7kO7</t>
  </si>
  <si>
    <t>xV4aI2lR1</t>
  </si>
  <si>
    <t>lA1bF7wE4</t>
  </si>
  <si>
    <t>gX2eN3kF5</t>
  </si>
  <si>
    <t>aH2yV2lG1</t>
  </si>
  <si>
    <t>vI5gR8lW3</t>
  </si>
  <si>
    <t>vM8tI2aI6</t>
  </si>
  <si>
    <t>uU5gT6fJ1</t>
  </si>
  <si>
    <t>kP0jD5vS0</t>
  </si>
  <si>
    <t>eO8sW5sM6</t>
  </si>
  <si>
    <t>bV1oK0qF2</t>
  </si>
  <si>
    <t>yQ1rI5cJ5</t>
  </si>
  <si>
    <t>iH7sD3lL0</t>
  </si>
  <si>
    <t>wV8hH7pK0</t>
  </si>
  <si>
    <t>bP6dK4dC4</t>
  </si>
  <si>
    <t>jV3aA3bX0</t>
  </si>
  <si>
    <t>gY0fB3lV4</t>
  </si>
  <si>
    <t>wC5bB6oA5</t>
  </si>
  <si>
    <t>rR5iB6yV4</t>
  </si>
  <si>
    <t>xL5oG1gJ8</t>
  </si>
  <si>
    <t>aH1yD2wX6</t>
  </si>
  <si>
    <t>pY5nT3yT6</t>
  </si>
  <si>
    <t>vN1uY8uY8</t>
  </si>
  <si>
    <t>jC1tG0oT1</t>
  </si>
  <si>
    <t>kL2lO7xL0</t>
  </si>
  <si>
    <t>pA8vJ2xG0</t>
  </si>
  <si>
    <t>jG0kD3tM6</t>
  </si>
  <si>
    <t>lF4gB0rA6</t>
  </si>
  <si>
    <t>fP2xW5gG3</t>
  </si>
  <si>
    <t>yO0lS1tR0</t>
  </si>
  <si>
    <t>uN1wL2eT3</t>
  </si>
  <si>
    <t>eU5qA7pT3</t>
  </si>
  <si>
    <t>lM7wG8dR8</t>
  </si>
  <si>
    <t>jC1qJ8fG3</t>
  </si>
  <si>
    <t>kA6tK5aW5</t>
  </si>
  <si>
    <t>oK0cW3kP0</t>
  </si>
  <si>
    <t>hE2rG2tA5</t>
  </si>
  <si>
    <t>oG6rE1xT1</t>
  </si>
  <si>
    <t>oS8cE7eW3</t>
  </si>
  <si>
    <t>cQ4lA5uI3</t>
  </si>
  <si>
    <t>mM1uI0vF6</t>
  </si>
  <si>
    <t>uS8dK4lB2</t>
  </si>
  <si>
    <t>hY5dO5gH6</t>
  </si>
  <si>
    <t>vD5gQ2dI6</t>
  </si>
  <si>
    <t>sE7vI7fN1</t>
  </si>
  <si>
    <t>fT8wJ1yX7</t>
  </si>
  <si>
    <t>nJ8mM6eJ7</t>
  </si>
  <si>
    <t>oA8xM8dJ5</t>
  </si>
  <si>
    <t>lN6kB5gW4</t>
  </si>
  <si>
    <t>qN8wA7pU3</t>
  </si>
  <si>
    <t>sL6cR7yR2</t>
  </si>
  <si>
    <t>hF6fP6cH3</t>
  </si>
  <si>
    <t>lA3gR5bJ6</t>
  </si>
  <si>
    <t>fC2aB0xR2</t>
  </si>
  <si>
    <t>oM0dB4wP3</t>
  </si>
  <si>
    <t>nF7oG0rO7</t>
  </si>
  <si>
    <t>fJ1aT2yI0</t>
  </si>
  <si>
    <t>jO3pE3rD7</t>
  </si>
  <si>
    <t>aJ8cM6nO0</t>
  </si>
  <si>
    <t>pB3pM8xV0</t>
  </si>
  <si>
    <t>mU4pA5jX2</t>
  </si>
  <si>
    <t>hY6pP4nO4</t>
  </si>
  <si>
    <t>dY1uV0rM2</t>
  </si>
  <si>
    <t>tU3lU7hT0</t>
  </si>
  <si>
    <t>gF0cY5pL2</t>
  </si>
  <si>
    <t>qR3wG0xR1</t>
  </si>
  <si>
    <t>uR7cX8yT5</t>
  </si>
  <si>
    <t>qA4tM7sL0</t>
  </si>
  <si>
    <t>iB7vT6jP6</t>
  </si>
  <si>
    <t>yU8mO0sO6</t>
  </si>
  <si>
    <t>hA3yT5gT8</t>
  </si>
  <si>
    <t>eC6gD5sX0</t>
  </si>
  <si>
    <t>rV6fH3uU0</t>
  </si>
  <si>
    <t>jW3oJ6yT3</t>
  </si>
  <si>
    <t>eR5pD3jI5</t>
  </si>
  <si>
    <t>iS8vE8bG2</t>
  </si>
  <si>
    <t>qQ6hI7xI7</t>
  </si>
  <si>
    <t>sV0nY4lF4</t>
  </si>
  <si>
    <t>iH5xT6xS7</t>
  </si>
  <si>
    <t>tP8uS6xV0</t>
  </si>
  <si>
    <t>oA2yJ0aS3</t>
  </si>
  <si>
    <t>aH5tI3gH8</t>
  </si>
  <si>
    <t>wT2aE1bJ4</t>
  </si>
  <si>
    <t>aN2hE7sR6</t>
  </si>
  <si>
    <t>jP0cN7uV7</t>
  </si>
  <si>
    <t>iX5nF6aT3</t>
  </si>
  <si>
    <t>wB0mO6aW4</t>
  </si>
  <si>
    <t>jY3tN6mH7</t>
  </si>
  <si>
    <t>qO5gG0gU8</t>
  </si>
  <si>
    <t>fY8lA6oL3</t>
  </si>
  <si>
    <t>bY5sV2hK7</t>
  </si>
  <si>
    <t>gE8dX0eF1</t>
  </si>
  <si>
    <t>sN6dI5fO5</t>
  </si>
  <si>
    <t>jU5gR3uD1</t>
  </si>
  <si>
    <t>bB0uK1rC8</t>
  </si>
  <si>
    <t>sU3jR7yV2</t>
  </si>
  <si>
    <t>xV6hX0hJ7</t>
  </si>
  <si>
    <t>bV3uL2gO5</t>
  </si>
  <si>
    <t>xN3pU8jY4</t>
  </si>
  <si>
    <t>kO4gX5gU4</t>
  </si>
  <si>
    <t>nM0mD7pM1</t>
  </si>
  <si>
    <t>eB1yV5qW1</t>
  </si>
  <si>
    <t>pP5eH8fL1</t>
  </si>
  <si>
    <t>lY1gF4iG8</t>
  </si>
  <si>
    <t>qH0lU7lO2</t>
  </si>
  <si>
    <t>tT8oK1oD4</t>
  </si>
  <si>
    <t>cY2eY1wM1</t>
  </si>
  <si>
    <t>uX1lS1tC2</t>
  </si>
  <si>
    <t>iX8oV3rR3</t>
  </si>
  <si>
    <t>wW7wE3vD2</t>
  </si>
  <si>
    <t>pR4mQ5uL2</t>
  </si>
  <si>
    <t>vK7qS0hJ7</t>
  </si>
  <si>
    <t>lT1oM3eE7</t>
  </si>
  <si>
    <t>cC0dY6hN2</t>
  </si>
  <si>
    <t>nT7wO3tN8</t>
  </si>
  <si>
    <t>vR3lE3vC7</t>
  </si>
  <si>
    <t>aL8tL3sD4</t>
  </si>
  <si>
    <t>jD3eI5rG8</t>
  </si>
  <si>
    <t>yB1bA8jO5</t>
  </si>
  <si>
    <t>jS5qK8nJ3</t>
  </si>
  <si>
    <t>vX5uS4xX4</t>
  </si>
  <si>
    <t>gW2oL5pW3</t>
  </si>
  <si>
    <t>oM8yY3vU6</t>
  </si>
  <si>
    <t>hE5uN2pU4</t>
  </si>
  <si>
    <t>kT3oE5rK4</t>
  </si>
  <si>
    <t>jV6wX7xL7</t>
  </si>
  <si>
    <t>jF3wJ8lG6</t>
  </si>
  <si>
    <t>aO7wA8nY1</t>
  </si>
  <si>
    <t>yC3rI1lE1</t>
  </si>
  <si>
    <t>qI8pG5qU2</t>
  </si>
  <si>
    <t>bK4fN2nM8</t>
  </si>
  <si>
    <t>pJ7uN2oH2</t>
  </si>
  <si>
    <t>eG4nD6bH3</t>
  </si>
  <si>
    <t>qK1nC2wO2</t>
  </si>
  <si>
    <t>cN4qA6dN5</t>
  </si>
  <si>
    <t>pO4gJ8pB0</t>
  </si>
  <si>
    <t>nO8mV0eJ8</t>
  </si>
  <si>
    <t>vP1fG0bT3</t>
  </si>
  <si>
    <t>dC4pU4jS4</t>
  </si>
  <si>
    <t>aC3bU8gW2</t>
  </si>
  <si>
    <t>yW0kP5pW0</t>
  </si>
  <si>
    <t>pG0bW2aP0</t>
  </si>
  <si>
    <t>sL1yE2hV3</t>
  </si>
  <si>
    <t>oO8oP0gI5</t>
  </si>
  <si>
    <t>cT5wM5tU2</t>
  </si>
  <si>
    <t>dR1gL3gK7</t>
  </si>
  <si>
    <t>aW6rS2sB1</t>
  </si>
  <si>
    <t>bK7xW3fM3</t>
  </si>
  <si>
    <t>rY4bA6rE6</t>
  </si>
  <si>
    <t>pM2yG5mH6</t>
  </si>
  <si>
    <t>hW7lR1bL5</t>
  </si>
  <si>
    <t>mE8cS8iA5</t>
  </si>
  <si>
    <t>pL8nX4rW7</t>
  </si>
  <si>
    <t>aC8gD0wM3</t>
  </si>
  <si>
    <t>tF3dR6vX6</t>
  </si>
  <si>
    <t>bN5tE4xY4</t>
  </si>
  <si>
    <t>vK0mL4jK6</t>
  </si>
  <si>
    <t>vT8vY1pR4</t>
  </si>
  <si>
    <t>lW6gT7dR3</t>
  </si>
  <si>
    <t>bW2aT5pI2</t>
  </si>
  <si>
    <t>sW3bG2sU2</t>
  </si>
  <si>
    <t>iK7eU6aD5</t>
  </si>
  <si>
    <t>gR2kP5pM3</t>
  </si>
  <si>
    <t>vT0yY5dA3</t>
  </si>
  <si>
    <t>pO6dS8gC8</t>
  </si>
  <si>
    <t>aV6eQ8gY4</t>
  </si>
  <si>
    <t>rV8uT6gR1</t>
  </si>
  <si>
    <t>sF4bA0pI5</t>
  </si>
  <si>
    <t>uR2gH2mJ2</t>
  </si>
  <si>
    <t>wK0rC0tK5</t>
  </si>
  <si>
    <t>aL7sQ4pF4</t>
  </si>
  <si>
    <t>nB7yL6vB0</t>
  </si>
  <si>
    <t>eN7rJ6sG4</t>
  </si>
  <si>
    <t>nJ2kX4tN3</t>
  </si>
  <si>
    <t>lQ7jT6kO4</t>
  </si>
  <si>
    <t>mW8lM4qE5</t>
  </si>
  <si>
    <t>wC6eB6uH5</t>
  </si>
  <si>
    <t>sC5fP3yM1</t>
  </si>
  <si>
    <t>pP5gH1tY1</t>
  </si>
  <si>
    <t>bJ6dC7dN5</t>
  </si>
  <si>
    <t>cO6dD5cX6</t>
  </si>
  <si>
    <t>xG0oK3sE2</t>
  </si>
  <si>
    <t>jP7jR3aG3</t>
  </si>
  <si>
    <t>qV1dT5xE8</t>
  </si>
  <si>
    <t>nW6bJ7wW7</t>
  </si>
  <si>
    <t>xV6dF4xK0</t>
  </si>
  <si>
    <t>nG6jX1lO2</t>
  </si>
  <si>
    <t>nT3sP1uA0</t>
  </si>
  <si>
    <t>uL2fF7tU8</t>
  </si>
  <si>
    <t>lB6wL5kS5</t>
  </si>
  <si>
    <t>uK6sK0vG7</t>
  </si>
  <si>
    <t>vL7sG6fI8</t>
  </si>
  <si>
    <t>bW8sQ0mY7</t>
  </si>
  <si>
    <t>xK1kW1rH6</t>
  </si>
  <si>
    <t>dQ2rK1vO2</t>
  </si>
  <si>
    <t>tP1kV1xT6</t>
  </si>
  <si>
    <t>hE6oA6yU3</t>
  </si>
  <si>
    <t>mA5xE2wP7</t>
  </si>
  <si>
    <t>eJ8sX2wO8</t>
  </si>
  <si>
    <t>qJ2sD2mJ0</t>
  </si>
  <si>
    <t>tK4wY0hC5</t>
  </si>
  <si>
    <t>eP0vA0lW6</t>
  </si>
  <si>
    <t>yV0fR3vB3</t>
  </si>
  <si>
    <t>oV7cD3vE2</t>
  </si>
  <si>
    <t>pY5pJ3sT5</t>
  </si>
  <si>
    <t>uM8fG6hL1</t>
  </si>
  <si>
    <t>kK3mY1aP6</t>
  </si>
  <si>
    <t>kR0bF6wI0</t>
  </si>
  <si>
    <t>oN4fY5rU6</t>
  </si>
  <si>
    <t>bU1uP6nW4</t>
  </si>
  <si>
    <t>kA2xC3qH3</t>
  </si>
  <si>
    <t>vB8vG3yC2</t>
  </si>
  <si>
    <t>pI4vW8eG4</t>
  </si>
  <si>
    <t>jS7hU6lY7</t>
  </si>
  <si>
    <t>iA8fI1hX4</t>
  </si>
  <si>
    <t>uV1dJ0kG7</t>
  </si>
  <si>
    <t>eE2lE5aC3</t>
  </si>
  <si>
    <t>jW0oL4yG6</t>
  </si>
  <si>
    <t>cD1uB0mH6</t>
  </si>
  <si>
    <t>aU2yC5uE2</t>
  </si>
  <si>
    <t>eV4lY0kV2</t>
  </si>
  <si>
    <t>iT3yK0qK6</t>
  </si>
  <si>
    <t>xU1wQ1kL4</t>
  </si>
  <si>
    <t>yB3iC7eL3</t>
  </si>
  <si>
    <t>gQ3dN7lL2</t>
  </si>
  <si>
    <t>gR5mB7cP8</t>
  </si>
  <si>
    <t>kJ6pO7rI2</t>
  </si>
  <si>
    <t>sF2oU1uN1</t>
  </si>
  <si>
    <t>sH8nY0qM4</t>
  </si>
  <si>
    <t>pA3mI0yB5</t>
  </si>
  <si>
    <t>iT5fD1fF1</t>
  </si>
  <si>
    <t>kV5xV0fV6</t>
  </si>
  <si>
    <t>wY2kV7sY8</t>
  </si>
  <si>
    <t>mG5cG4oP5</t>
  </si>
  <si>
    <t>bB2gO4fP3</t>
  </si>
  <si>
    <t>cA8cY7aB7</t>
  </si>
  <si>
    <t>gX2wP8tB8</t>
  </si>
  <si>
    <t>hH1pX4sJ5</t>
  </si>
  <si>
    <t>yX4uV1sM2</t>
  </si>
  <si>
    <t>eI8lX2dS4</t>
  </si>
  <si>
    <t>iS2cR4jS1</t>
  </si>
  <si>
    <t>lY5kH4iJ6</t>
  </si>
  <si>
    <t>xU8vH4dL7</t>
  </si>
  <si>
    <t>qQ8bD0jN8</t>
  </si>
  <si>
    <t>tD4dW6cT2</t>
  </si>
  <si>
    <t>wJ3mL5lA1</t>
  </si>
  <si>
    <t>kO7lI6jB8</t>
  </si>
  <si>
    <t>dM3gK1wH7</t>
  </si>
  <si>
    <t>jE7cV3tP7</t>
  </si>
  <si>
    <t>hW7tU8vY8</t>
  </si>
  <si>
    <t>kC5xI8yN5</t>
  </si>
  <si>
    <t>hQ6cX0uD5</t>
  </si>
  <si>
    <t>kI3qI3qE5</t>
  </si>
  <si>
    <t>fN6kL2rW1</t>
  </si>
  <si>
    <t>fT7gW2aT0</t>
  </si>
  <si>
    <t>mR2dI4tX2</t>
  </si>
  <si>
    <t>tW2hK4dK7</t>
  </si>
  <si>
    <t>tS2yA7rJ2</t>
  </si>
  <si>
    <t>hJ6lH0nI7</t>
  </si>
  <si>
    <t>tK8bK0fH5</t>
  </si>
  <si>
    <t>yJ1kF1cO7</t>
  </si>
  <si>
    <t>sA2wV1wL6</t>
  </si>
  <si>
    <t>qC3mU4mN7</t>
  </si>
  <si>
    <t>yW2mC1aL3</t>
  </si>
  <si>
    <t>aB4bE1eM1</t>
  </si>
  <si>
    <t>mE6nV4yV4</t>
  </si>
  <si>
    <t>dY7jX4bT7</t>
  </si>
  <si>
    <t>fE0rE4dN2</t>
  </si>
  <si>
    <t>yO0oC4aX4</t>
  </si>
  <si>
    <t>iA5cJ7vC7</t>
  </si>
  <si>
    <t>nF5iG2tI5</t>
  </si>
  <si>
    <t>qO7nV6mQ0</t>
  </si>
  <si>
    <t>xV6gP8sG8</t>
  </si>
  <si>
    <t>nH8tX5tP4</t>
  </si>
  <si>
    <t>xP0mG3yL2</t>
  </si>
  <si>
    <t>mR7dB5oT3</t>
  </si>
  <si>
    <t>vF0yS2uI3</t>
  </si>
  <si>
    <t>jU0eC0tO5</t>
  </si>
  <si>
    <t>wM8oP4pB8</t>
  </si>
  <si>
    <t>eH1gD1dH3</t>
  </si>
  <si>
    <t>pD8eY2hF6</t>
  </si>
  <si>
    <t>uB6gG0aP4</t>
  </si>
  <si>
    <t>lW5vY1nC3</t>
  </si>
  <si>
    <t>vS2vG2uU5</t>
  </si>
  <si>
    <t>bV3eE6oD2</t>
  </si>
  <si>
    <t>bP3lM1mK3</t>
  </si>
  <si>
    <t>hQ4yS8aS4</t>
  </si>
  <si>
    <t>hU7gA1lF4</t>
  </si>
  <si>
    <t>hX3mS3pL7</t>
  </si>
  <si>
    <t>oK8xR2oO0</t>
  </si>
  <si>
    <t>qU8tL0pP1</t>
  </si>
  <si>
    <t>hF5tR4hM4</t>
  </si>
  <si>
    <t>lA6pP0nX0</t>
  </si>
  <si>
    <t>jR6cV5uE7</t>
  </si>
  <si>
    <t>qY8lG7mV2</t>
  </si>
  <si>
    <t>cS7xB3pY7</t>
  </si>
  <si>
    <t>gT5sN0qJ2</t>
  </si>
  <si>
    <t>sS7kX3vJ2</t>
  </si>
  <si>
    <t>iE3yQ6bT7</t>
  </si>
  <si>
    <t>xP1bQ0vE5</t>
  </si>
  <si>
    <t>lG8iR5gP0</t>
  </si>
  <si>
    <t>mD8oB6wP5</t>
  </si>
  <si>
    <t>dM4wR4aL1</t>
  </si>
  <si>
    <t>bQ5kM2cN1</t>
  </si>
  <si>
    <t>wJ8aX6nP3</t>
  </si>
  <si>
    <t>mD5gC1qJ8</t>
  </si>
  <si>
    <t>lS6oX6gW2</t>
  </si>
  <si>
    <t>bF3gI5bL3</t>
  </si>
  <si>
    <t>sE3dM7qN3</t>
  </si>
  <si>
    <t>nJ4fO7qQ7</t>
  </si>
  <si>
    <t>bM0uQ0tV4</t>
  </si>
  <si>
    <t>lD4yH1nP6</t>
  </si>
  <si>
    <t>tK2hD8rY3</t>
  </si>
  <si>
    <t>jD0bC7oJ1</t>
  </si>
  <si>
    <t>uM4nR2vR4</t>
  </si>
  <si>
    <t>cR4tI5tC8</t>
  </si>
  <si>
    <t>jA2qE5bO1</t>
  </si>
  <si>
    <t>sS0cW7lI2</t>
  </si>
  <si>
    <t>bI6iM7tY2</t>
  </si>
  <si>
    <t>fB6rT0jG7</t>
  </si>
  <si>
    <t>rA6nS6sL7</t>
  </si>
  <si>
    <t>xO8vX4bE4</t>
  </si>
  <si>
    <t>yC6eQ8iT3</t>
  </si>
  <si>
    <t>sR0vK4nI8</t>
  </si>
  <si>
    <t>uA7sO6iV4</t>
  </si>
  <si>
    <t>lO1gG7yL7</t>
  </si>
  <si>
    <t>hC2hE8tV1</t>
  </si>
  <si>
    <t>gO3qI6kU7</t>
  </si>
  <si>
    <t>eS2lJ8vT5</t>
  </si>
  <si>
    <t>oE4qT4nX7</t>
  </si>
  <si>
    <t>tD3wV4xP0</t>
  </si>
  <si>
    <t>yP5aF1fK8</t>
  </si>
  <si>
    <t>kM2wA5lB0</t>
  </si>
  <si>
    <t>pN5bS7aW0</t>
  </si>
  <si>
    <t>yG3qK5iU4</t>
  </si>
  <si>
    <t>cA6bF3iD7</t>
  </si>
  <si>
    <t>wK8nF1tQ0</t>
  </si>
  <si>
    <t>jH0eH6cJ5</t>
  </si>
  <si>
    <t>gN6bY6eY3</t>
  </si>
  <si>
    <t>oW3bS3bT7</t>
  </si>
  <si>
    <t>cT3gB6eQ6</t>
  </si>
  <si>
    <t>hR3tS3wI1</t>
  </si>
  <si>
    <t>qO8hL7sD2</t>
  </si>
  <si>
    <t>eN1wX7xB7</t>
  </si>
  <si>
    <t>kM7cO0fE8</t>
  </si>
  <si>
    <t>cQ1eT3yY3</t>
  </si>
  <si>
    <t>jU6fF5lG8</t>
  </si>
  <si>
    <t>fW3vO6pT1</t>
  </si>
  <si>
    <t>aU4gQ8nK6</t>
  </si>
  <si>
    <t>rE3nT5iP1</t>
  </si>
  <si>
    <t>dG2fU6eF8</t>
  </si>
  <si>
    <t>bI1vJ8tQ8</t>
  </si>
  <si>
    <t>wW6tC0pK2</t>
  </si>
  <si>
    <t>iU0dH4aV7</t>
  </si>
  <si>
    <t>uS6aE7hV6</t>
  </si>
  <si>
    <t>tV8iD3uJ1</t>
  </si>
  <si>
    <t>tO5tO4pC6</t>
  </si>
  <si>
    <t>cL5kH1yX5</t>
  </si>
  <si>
    <t>lA1fP5fP8</t>
  </si>
  <si>
    <t>jH0fG7cL3</t>
  </si>
  <si>
    <t>bI8gJ8wR6</t>
  </si>
  <si>
    <t>kB1iD1vU6</t>
  </si>
  <si>
    <t>sD5mJ7eV2</t>
  </si>
  <si>
    <t>gY7rU2tC1</t>
  </si>
  <si>
    <t>vB0hP8yK7</t>
  </si>
  <si>
    <t>xQ2rH6tD0</t>
  </si>
  <si>
    <t>oI1qL0xV0</t>
  </si>
  <si>
    <t>rH6dN8hG6</t>
  </si>
  <si>
    <t>iI8kB4rQ0</t>
  </si>
  <si>
    <t>iF5lM7oV0</t>
  </si>
  <si>
    <t>kQ3eK5hM7</t>
  </si>
  <si>
    <t>cD0xS2gN0</t>
  </si>
  <si>
    <t>aT3jB8tQ2</t>
  </si>
  <si>
    <t>tR5tK7kD1</t>
  </si>
  <si>
    <t>oD2iR3dQ3</t>
  </si>
  <si>
    <t>nM1mF3uK1</t>
  </si>
  <si>
    <t>iD3pY7dK6</t>
  </si>
  <si>
    <t>nA3xJ0jX3</t>
  </si>
  <si>
    <t>xW3oE2yT7</t>
  </si>
  <si>
    <t>bI0tU8gE6</t>
  </si>
  <si>
    <t>uK3bI7hJ8</t>
  </si>
  <si>
    <t>vW7dB2gE0</t>
  </si>
  <si>
    <t>rM3vD0mM5</t>
  </si>
  <si>
    <t>bV4uD5eK2</t>
  </si>
  <si>
    <t>iD8vL1gP1</t>
  </si>
  <si>
    <t>bL5vM1tI6</t>
  </si>
  <si>
    <t>iJ2oB0dE1</t>
  </si>
  <si>
    <t>tE8vI8bN5</t>
  </si>
  <si>
    <t>yG0gK3qJ4</t>
  </si>
  <si>
    <t>oH0kO3iP1</t>
  </si>
  <si>
    <t>nR1vL5lI5</t>
  </si>
  <si>
    <t>kM6dS1jC8</t>
  </si>
  <si>
    <t>yE8eP0mG3</t>
  </si>
  <si>
    <t>tI1vY0eN7</t>
  </si>
  <si>
    <t>jK4jT5lW6</t>
  </si>
  <si>
    <t>pV8oB3sH8</t>
  </si>
  <si>
    <t>yK1qA6aV2</t>
  </si>
  <si>
    <t>dL6mH0pM5</t>
  </si>
  <si>
    <t>lQ7tT5wE6</t>
  </si>
  <si>
    <t>uS4yD7yN5</t>
  </si>
  <si>
    <t>wE0sU8fK5</t>
  </si>
  <si>
    <t>vC6fV0pE8</t>
  </si>
  <si>
    <t>wX6yS1dB0</t>
  </si>
  <si>
    <t>bU7kJ2uE0</t>
  </si>
  <si>
    <t>wY4xH4iU0</t>
  </si>
  <si>
    <t>iB3xQ2dV6</t>
  </si>
  <si>
    <t>hI5hY2iQ0</t>
  </si>
  <si>
    <t>mW1vU1hU4</t>
  </si>
  <si>
    <t>bQ8fT4jB5</t>
  </si>
  <si>
    <t>fP2qE4oX7</t>
  </si>
  <si>
    <t>tS5rL5xK5</t>
  </si>
  <si>
    <t>lR5hJ6xM0</t>
  </si>
  <si>
    <t>rW1dG8qW0</t>
  </si>
  <si>
    <t>hW5kV3tU0</t>
  </si>
  <si>
    <t>rP8yP6lI0</t>
  </si>
  <si>
    <t>kV0nG2aH5</t>
  </si>
  <si>
    <t>yB2sT0bV1</t>
  </si>
  <si>
    <t>tJ2pJ2hD1</t>
  </si>
  <si>
    <t>kH4eW3bO4</t>
  </si>
  <si>
    <t>bM8dK3mU5</t>
  </si>
  <si>
    <t>fF1hN0tI8</t>
  </si>
  <si>
    <t>jR3hF1wE3</t>
  </si>
  <si>
    <t>hF7sK0yA0</t>
  </si>
  <si>
    <t>qK0dU1gG6</t>
  </si>
  <si>
    <t>oH5nU5cP1</t>
  </si>
  <si>
    <t>fB1dT2dC6</t>
  </si>
  <si>
    <t>jE3rB1aT7</t>
  </si>
  <si>
    <t>fO5xF3rO8</t>
  </si>
  <si>
    <t>sG5mP1hD4</t>
  </si>
  <si>
    <t>yB4qH6lE7</t>
  </si>
  <si>
    <t>uE1aH0xX2</t>
  </si>
  <si>
    <t>bB7qA6oN0</t>
  </si>
  <si>
    <t>cC7wH2qO1</t>
  </si>
  <si>
    <t>iR8aF7uG5</t>
  </si>
  <si>
    <t>xB2gL8qO2</t>
  </si>
  <si>
    <t>tD5gT0gV4</t>
  </si>
  <si>
    <t>wU1rE7sH2</t>
  </si>
  <si>
    <t>hW5eB1tH0</t>
  </si>
  <si>
    <t>aO8pB8jC0</t>
  </si>
  <si>
    <t>oJ0uM6qU6</t>
  </si>
  <si>
    <t>wM4iO6vR8</t>
  </si>
  <si>
    <t>nC7cV0qL6</t>
  </si>
  <si>
    <t>xY6bX3qW1</t>
  </si>
  <si>
    <t>kS2jH4gV8</t>
  </si>
  <si>
    <t>mR5jN4rI5</t>
  </si>
  <si>
    <t>oI7eH8kJ4</t>
  </si>
  <si>
    <t>fM0dJ0yU3</t>
  </si>
  <si>
    <t>gI5xY8nQ5</t>
  </si>
  <si>
    <t>uI6sE0cV1</t>
  </si>
  <si>
    <t>mV6jD8nM2</t>
  </si>
  <si>
    <t>nS2fY7aO6</t>
  </si>
  <si>
    <t>mD0tK1rL4</t>
  </si>
  <si>
    <t>rM3oM5hM3</t>
  </si>
  <si>
    <t>bL4dI2aF0</t>
  </si>
  <si>
    <t>iP6uX7jS3</t>
  </si>
  <si>
    <t>wM6fX6jH7</t>
  </si>
  <si>
    <t>mD5sW6wL3</t>
  </si>
  <si>
    <t>oL6aN0wO6</t>
  </si>
  <si>
    <t>dK8dT6tS3</t>
  </si>
  <si>
    <t>nB8lN0hM2</t>
  </si>
  <si>
    <t>qB8gP4kC8</t>
  </si>
  <si>
    <t>cO3vE1pK1</t>
  </si>
  <si>
    <t>gL0xG4nH7</t>
  </si>
  <si>
    <t>cG6tT1sX4</t>
  </si>
  <si>
    <t>lC1dY1xD6</t>
  </si>
  <si>
    <t>lM4vK2rR0</t>
  </si>
  <si>
    <t>lF1wI0lB4</t>
  </si>
  <si>
    <t>yW5xE0lI1</t>
  </si>
  <si>
    <t>cR4fK0mS2</t>
  </si>
  <si>
    <t>fX5tB5bH0</t>
  </si>
  <si>
    <t>cK5hJ7yP1</t>
  </si>
  <si>
    <t>vH3cB6mR1</t>
  </si>
  <si>
    <t>hJ1iJ0lR1</t>
  </si>
  <si>
    <t>aY6tI5mK1</t>
  </si>
  <si>
    <t>xT0gR6vN4</t>
  </si>
  <si>
    <t>qL8pD4qL8</t>
  </si>
  <si>
    <t>eV0yX4lC6</t>
  </si>
  <si>
    <t>sE4wJ1mE5</t>
  </si>
  <si>
    <t>dN8rU6xX8</t>
  </si>
  <si>
    <t>kH7tL7mR1</t>
  </si>
  <si>
    <t>jS7bI6qE3</t>
  </si>
  <si>
    <t>aX2qA5aL4</t>
  </si>
  <si>
    <t>wW2xW2vO3</t>
  </si>
  <si>
    <t>xE0vS0hG2</t>
  </si>
  <si>
    <t>jQ1hU5xO5</t>
  </si>
  <si>
    <t>uB2hG3yG7</t>
  </si>
  <si>
    <t>aG8vQ4gB0</t>
  </si>
  <si>
    <t>sM1fV5uU6</t>
  </si>
  <si>
    <t>tG2gV0eY5</t>
  </si>
  <si>
    <t>bV6gN6sD5</t>
  </si>
  <si>
    <t>wA7cG6dF6</t>
  </si>
  <si>
    <t>uX8cA6nK0</t>
  </si>
  <si>
    <t>lE2hQ7uJ6</t>
  </si>
  <si>
    <t>oQ2sC6sG0</t>
  </si>
  <si>
    <t>nW8fI2dM6</t>
  </si>
  <si>
    <t>rA6eL1uH6</t>
  </si>
  <si>
    <t>dO0lC1yJ1</t>
  </si>
  <si>
    <t>oH1lT0aO2</t>
  </si>
  <si>
    <t>oQ6fC6uD4</t>
  </si>
  <si>
    <t>tJ0jF0yJ4</t>
  </si>
  <si>
    <t>lG1jK3yO5</t>
  </si>
  <si>
    <t>gX3cS3iN6</t>
  </si>
  <si>
    <t>mE3yK2sA5</t>
  </si>
  <si>
    <t>bO2pD4oC1</t>
  </si>
  <si>
    <t>jC4cY4fK0</t>
  </si>
  <si>
    <t>mF1vL7pF6</t>
  </si>
  <si>
    <t>xT8eW7mE6</t>
  </si>
  <si>
    <t>cY5sI4uL6</t>
  </si>
  <si>
    <t>mH4tB5rT6</t>
  </si>
  <si>
    <t>yP4jP7wR5</t>
  </si>
  <si>
    <t>jD7bH1xC5</t>
  </si>
  <si>
    <t>aO5fE8tC7</t>
  </si>
  <si>
    <t>cV2qP4kL0</t>
  </si>
  <si>
    <t>aS4pA8aX7</t>
  </si>
  <si>
    <t>xG8pB8xB4</t>
  </si>
  <si>
    <t>xO8aH7uR8</t>
  </si>
  <si>
    <t>mC0yH1pY3</t>
  </si>
  <si>
    <t>fU3tL2fU2</t>
  </si>
  <si>
    <t>bH6lD5nO7</t>
  </si>
  <si>
    <t>fJ4tN0eI5</t>
  </si>
  <si>
    <t>gW3wV5aG2</t>
  </si>
  <si>
    <t>tC8xV0sP6</t>
  </si>
  <si>
    <t>kU0rK7lY3</t>
  </si>
  <si>
    <t>cE7aB6fF4</t>
  </si>
  <si>
    <t>bH7dN0wJ3</t>
  </si>
  <si>
    <t>jK6bV8kT2</t>
  </si>
  <si>
    <t>sW1jT5wO0</t>
  </si>
  <si>
    <t>rA2uV1wQ1</t>
  </si>
  <si>
    <t>dW2hM0bR2</t>
  </si>
  <si>
    <t>fT3eH6lL1</t>
  </si>
  <si>
    <t>kF3mV0hJ6</t>
  </si>
  <si>
    <t>iU8kI7sQ7</t>
  </si>
  <si>
    <t>iV6gS5pH7</t>
  </si>
  <si>
    <t>nI0bK3jA0</t>
  </si>
  <si>
    <t>iG4pG2dX7</t>
  </si>
  <si>
    <t>bC6bS1wM1</t>
  </si>
  <si>
    <t>pF5bS2qN8</t>
  </si>
  <si>
    <t>jW5nF7oL3</t>
  </si>
  <si>
    <t>bL2rD1wQ3</t>
  </si>
  <si>
    <t>gS1qH5aQ2</t>
  </si>
  <si>
    <t>eU5rY6cK8</t>
  </si>
  <si>
    <t>tJ5yR6dY3</t>
  </si>
  <si>
    <t>lK3dA5cU5</t>
  </si>
  <si>
    <t>iP6aG4rY0</t>
  </si>
  <si>
    <t>sN5oN8uA0</t>
  </si>
  <si>
    <t>oB3pX4aH3</t>
  </si>
  <si>
    <t>bU8yT2uU8</t>
  </si>
  <si>
    <t>gP7kE3iW0</t>
  </si>
  <si>
    <t>rC3bQ2kK4</t>
  </si>
  <si>
    <t>kQ5nM8kK3</t>
  </si>
  <si>
    <t>sB3nV0aI6</t>
  </si>
  <si>
    <t>xB6vJ4nW0</t>
  </si>
  <si>
    <t>gD7aM0iF8</t>
  </si>
  <si>
    <t>sM7cL3kJ0</t>
  </si>
  <si>
    <t>tR2aG5hN3</t>
  </si>
  <si>
    <t>uA7wX8kY1</t>
  </si>
  <si>
    <t>nA2hN3hO6</t>
  </si>
  <si>
    <t>tV7gY3jE0</t>
  </si>
  <si>
    <t>kD0mE5hE7</t>
  </si>
  <si>
    <t>yX5oE5eV7</t>
  </si>
  <si>
    <t>vL5nM8mO7</t>
  </si>
  <si>
    <t>qQ2qA6hW2</t>
  </si>
  <si>
    <t>vW4yM4tP3</t>
  </si>
  <si>
    <t>yC5aT5wY0</t>
  </si>
  <si>
    <t>yO5jM2hS8</t>
  </si>
  <si>
    <t>eL4uX8bG0</t>
  </si>
  <si>
    <t>sJ3cR5yL0</t>
  </si>
  <si>
    <t>gW2bN0xK1</t>
  </si>
  <si>
    <t>lV8uP5yH2</t>
  </si>
  <si>
    <t>wF5bI8rP8</t>
  </si>
  <si>
    <t>sB6cJ7dN5</t>
  </si>
  <si>
    <t>iQ0dT8lO3</t>
  </si>
  <si>
    <t>dY8rP8wX8</t>
  </si>
  <si>
    <t>xE7pA1mC0</t>
  </si>
  <si>
    <t>hS6tK0lP7</t>
  </si>
  <si>
    <t>tP6wO5dJ3</t>
  </si>
  <si>
    <t>eR0nL3aI1</t>
  </si>
  <si>
    <t>cL2dO0pN8</t>
  </si>
  <si>
    <t>wF1nW6bS1</t>
  </si>
  <si>
    <t>rL5tA1dX2</t>
  </si>
  <si>
    <t>vU7aV3uI5</t>
  </si>
  <si>
    <t>cN4xP3wS0</t>
  </si>
  <si>
    <t>jE2lL2gT6</t>
  </si>
  <si>
    <t>oT1fT0aV6</t>
  </si>
  <si>
    <t>vB5jQ2gQ8</t>
  </si>
  <si>
    <t>fM7dD3cQ6</t>
  </si>
  <si>
    <t>iW5sT2sQ0</t>
  </si>
  <si>
    <t>vK3tK2cF8</t>
  </si>
  <si>
    <t>tA8hH0sH8</t>
  </si>
  <si>
    <t>yY8eC2hA3</t>
  </si>
  <si>
    <t>yY3tV7aU6</t>
  </si>
  <si>
    <t>mJ8fQ1vD3</t>
  </si>
  <si>
    <t>eX1uX1uG3</t>
  </si>
  <si>
    <t>jD2nO1tC1</t>
  </si>
  <si>
    <t>pN4rA0fY0</t>
  </si>
  <si>
    <t>xN7qB7dR5</t>
  </si>
  <si>
    <t>sI5sB4uS5</t>
  </si>
  <si>
    <t>oV7sG2bJ0</t>
  </si>
  <si>
    <t>gW7cK4eS6</t>
  </si>
  <si>
    <t>jI1fO5dX2</t>
  </si>
  <si>
    <t>cO7kG5vV4</t>
  </si>
  <si>
    <t>kM8vP4uO3</t>
  </si>
  <si>
    <t>hN5eK8qY3</t>
  </si>
  <si>
    <t>sV7lJ3lN6</t>
  </si>
  <si>
    <t>vL8vF6dD7</t>
  </si>
  <si>
    <t>gD3dM6wW0</t>
  </si>
  <si>
    <t>lH4nR3gY6</t>
  </si>
  <si>
    <t>aQ3bY1yM4</t>
  </si>
  <si>
    <t>pP4sC6pV1</t>
  </si>
  <si>
    <t>mJ8tI1cC5</t>
  </si>
  <si>
    <t>kC5dN3cR1</t>
  </si>
  <si>
    <t>dD5bF1vW3</t>
  </si>
  <si>
    <t>fX4hW1vT6</t>
  </si>
  <si>
    <t>aT5bM2mO5</t>
  </si>
  <si>
    <t>nI4tS2uO4</t>
  </si>
  <si>
    <t>mW4rG3tW0</t>
  </si>
  <si>
    <t>bP7hE0uY0</t>
  </si>
  <si>
    <t>iR4bU2hG6</t>
  </si>
  <si>
    <t>kY6qX1pI6</t>
  </si>
  <si>
    <t>uY7vQ4kG0</t>
  </si>
  <si>
    <t>aR5lW1yK5</t>
  </si>
  <si>
    <t>qU5hA6qY8</t>
  </si>
  <si>
    <t>xY5uO7nM3</t>
  </si>
  <si>
    <t>dB1dU5hR0</t>
  </si>
  <si>
    <t>wA0gS1pF1</t>
  </si>
  <si>
    <t>rL3gW0vE7</t>
  </si>
  <si>
    <t>jX3pF7hK1</t>
  </si>
  <si>
    <t>fD2xP8yJ5</t>
  </si>
  <si>
    <t>aC4yQ6cX6</t>
  </si>
  <si>
    <t>lQ0yP8dL3</t>
  </si>
  <si>
    <t>uP2dY1gB6</t>
  </si>
  <si>
    <t>hE1yO1pL7</t>
  </si>
  <si>
    <t>cC3hC2xF2</t>
  </si>
  <si>
    <t>rQ0bC1vW1</t>
  </si>
  <si>
    <t>dU0oK6wU6</t>
  </si>
  <si>
    <t>yL3bL7aD0</t>
  </si>
  <si>
    <t>rP6oL1bF1</t>
  </si>
  <si>
    <t>mW4nP0eO1</t>
  </si>
  <si>
    <t>cX7kD5mD6</t>
  </si>
  <si>
    <t>vB8tL0pR6</t>
  </si>
  <si>
    <t>uS1wE6vI1</t>
  </si>
  <si>
    <t>wN3xK5pW4</t>
  </si>
  <si>
    <t>jE8eO5fY0</t>
  </si>
  <si>
    <t>wL5sO1oU6</t>
  </si>
  <si>
    <t>tY1gL4uW0</t>
  </si>
  <si>
    <t>tP6lF4fE7</t>
  </si>
  <si>
    <t>uO2gV6aY5</t>
  </si>
  <si>
    <t>mT5kR7mU2</t>
  </si>
  <si>
    <t>wD6kD2uP7</t>
  </si>
  <si>
    <t>jM5jC7gF1</t>
  </si>
  <si>
    <t>oS3mK8qH8</t>
  </si>
  <si>
    <t>dR5nI8gR3</t>
  </si>
  <si>
    <t>nV1oQ1lQ1</t>
  </si>
  <si>
    <t>eS6vD7tX3</t>
  </si>
  <si>
    <t>jY0mR6fK4</t>
  </si>
  <si>
    <t>uV0wS5yP5</t>
  </si>
  <si>
    <t>fT2yW1rY4</t>
  </si>
  <si>
    <t>kB7xH3tX6</t>
  </si>
  <si>
    <t>gQ5uU3kW5</t>
  </si>
  <si>
    <t>rE3eN7fW8</t>
  </si>
  <si>
    <t>gY5mU8vF8</t>
  </si>
  <si>
    <t>jD4uX3dH0</t>
  </si>
  <si>
    <t>qV6cG5sL1</t>
  </si>
  <si>
    <t>lP3qQ5cC5</t>
  </si>
  <si>
    <t>bX5pG4cL3</t>
  </si>
  <si>
    <t>bN2oS7vX7</t>
  </si>
  <si>
    <t>qY5xP5vG7</t>
  </si>
  <si>
    <t>oJ3nB8pS2</t>
  </si>
  <si>
    <t>gG3nI8pA0</t>
  </si>
  <si>
    <t>oB8sN4iI0</t>
  </si>
  <si>
    <t>gR2bJ6jA2</t>
  </si>
  <si>
    <t>rF7sV1gA5</t>
  </si>
  <si>
    <t>nP5bX6rJ0</t>
  </si>
  <si>
    <t>bG5qQ6tD3</t>
  </si>
  <si>
    <t>uG0rX6yC3</t>
  </si>
  <si>
    <t>vP2dI3rM3</t>
  </si>
  <si>
    <t>dP5cK8rV5</t>
  </si>
  <si>
    <t>kE1nM7qD6</t>
  </si>
  <si>
    <t>iP7mL4bQ6</t>
  </si>
  <si>
    <t>yC0jV8dS5</t>
  </si>
  <si>
    <t>vI3bT5tK4</t>
  </si>
  <si>
    <t>uV7kW6nW7</t>
  </si>
  <si>
    <t>rU3mY4jB0</t>
  </si>
  <si>
    <t>eH6hT2sY4</t>
  </si>
  <si>
    <t>bY4aW5pB6</t>
  </si>
  <si>
    <t>aG0nX3sW7</t>
  </si>
  <si>
    <t>gO6uH8rW3</t>
  </si>
  <si>
    <t>yH4uK0rJ3</t>
  </si>
  <si>
    <t>hE6gP5xY7</t>
  </si>
  <si>
    <t>gX0mT2lH2</t>
  </si>
  <si>
    <t>iU5jJ3sH5</t>
  </si>
  <si>
    <t>fE6wG6rP4</t>
  </si>
  <si>
    <t>eI8oF5bA7</t>
  </si>
  <si>
    <t>fP0vM6oX0</t>
  </si>
  <si>
    <t>wM1rS1oQ6</t>
  </si>
  <si>
    <t>eC8uV8qJ8</t>
  </si>
  <si>
    <t>oQ4xN5rB7</t>
  </si>
  <si>
    <t>oQ2sK7sD8</t>
  </si>
  <si>
    <t>eQ3cR5sV0</t>
  </si>
  <si>
    <t>uH5mA3xS4</t>
  </si>
  <si>
    <t>pW2uP0sH6</t>
  </si>
  <si>
    <t>tD1qJ7tJ5</t>
  </si>
  <si>
    <t>rB3mY3lH1</t>
  </si>
  <si>
    <t>aW3yA8uI7</t>
  </si>
  <si>
    <t>kW8aT3aE0</t>
  </si>
  <si>
    <t>lU2uQ3xK6</t>
  </si>
  <si>
    <t>bH7cW8qU3</t>
  </si>
  <si>
    <t>jP2dF6wE8</t>
  </si>
  <si>
    <t>fJ3vC7wL8</t>
  </si>
  <si>
    <t>gO3mB7dV5</t>
  </si>
  <si>
    <t>oS0rV7jL5</t>
  </si>
  <si>
    <t>iF3fI6gT6</t>
  </si>
  <si>
    <t>fG3wV1uE4</t>
  </si>
  <si>
    <t>xR5mF6wG8</t>
  </si>
  <si>
    <t>nM4gW6dG5</t>
  </si>
  <si>
    <t>kF7pE4uU2</t>
  </si>
  <si>
    <t>yM6gF6iJ1</t>
  </si>
  <si>
    <t>yG2lE5tX3</t>
  </si>
  <si>
    <t>xE3eC6vR3</t>
  </si>
  <si>
    <t>pH0lN0qV1</t>
  </si>
  <si>
    <t>qE1xL3mV3</t>
  </si>
  <si>
    <t>nG0wN5qW7</t>
  </si>
  <si>
    <t>aI2cW0nU0</t>
  </si>
  <si>
    <t>dA7gR2hR6</t>
  </si>
  <si>
    <t>eQ1uC4qW3</t>
  </si>
  <si>
    <t>iQ5pS0qF3</t>
  </si>
  <si>
    <t>jQ4gA1fE8</t>
  </si>
  <si>
    <t>oF2mS6wX6</t>
  </si>
  <si>
    <t>iD5uT3aR5</t>
  </si>
  <si>
    <t>rI5uQ7qJ6</t>
  </si>
  <si>
    <t>kD4aX0cP0</t>
  </si>
  <si>
    <t>qQ4oI5nG8</t>
  </si>
  <si>
    <t>iR2bC0jI3</t>
  </si>
  <si>
    <t>iT5gV6sH2</t>
  </si>
  <si>
    <t>rO5wS3lE8</t>
  </si>
  <si>
    <t>bY6bB5cX6</t>
  </si>
  <si>
    <t>eF1xG8nS4</t>
  </si>
  <si>
    <t>kX5jL4dQ1</t>
  </si>
  <si>
    <t>eR2hU8tO1</t>
  </si>
  <si>
    <t>uS1lY3yN4</t>
  </si>
  <si>
    <t>yA0xK3qE0</t>
  </si>
  <si>
    <t>eY5nF2aR0</t>
  </si>
  <si>
    <t>wE1lY3dU3</t>
  </si>
  <si>
    <t>dY8aS0fW7</t>
  </si>
  <si>
    <t>eI7qT7wS8</t>
  </si>
  <si>
    <t>yV0sY6hW0</t>
  </si>
  <si>
    <t>cQ8eR1rH6</t>
  </si>
  <si>
    <t>pP4pV8mC5</t>
  </si>
  <si>
    <t>xF7vD5kX7</t>
  </si>
  <si>
    <t>uE5oO5gF0</t>
  </si>
  <si>
    <t>mT5rF1wN6</t>
  </si>
  <si>
    <t>hU8qC3uN4</t>
  </si>
  <si>
    <t>qU8dK1iQ0</t>
  </si>
  <si>
    <t>pN0eH2cP4</t>
  </si>
  <si>
    <t>bF7hR2vO3</t>
  </si>
  <si>
    <t>yR2wG1rN7</t>
  </si>
  <si>
    <t>hF6nW7wI4</t>
  </si>
  <si>
    <t>aE3fC6uP6</t>
  </si>
  <si>
    <t>xW7tD4qM0</t>
  </si>
  <si>
    <t>pN0sO4bN8</t>
  </si>
  <si>
    <t>iT1dF5qU2</t>
  </si>
  <si>
    <t>kR0fM8xQ7</t>
  </si>
  <si>
    <t>jC8xL8tH0</t>
  </si>
  <si>
    <t>lO8yX1uV3</t>
  </si>
  <si>
    <t>kN0xX1rT6</t>
  </si>
  <si>
    <t>iF2kT0uW7</t>
  </si>
  <si>
    <t>tG2iV2gG5</t>
  </si>
  <si>
    <t>pP3hY0oW6</t>
  </si>
  <si>
    <t>bU7aQ3xY4</t>
  </si>
  <si>
    <t>qX5kA7dR1</t>
  </si>
  <si>
    <t>tS8eN5lL0</t>
  </si>
  <si>
    <t>vK5cM6oA3</t>
  </si>
  <si>
    <t>lI6sC7eF7</t>
  </si>
  <si>
    <t>uT5jQ8tS7</t>
  </si>
  <si>
    <t>vW8dH6yX0</t>
  </si>
  <si>
    <t>pK2wX6mP6</t>
  </si>
  <si>
    <t>iG1kM1kA0</t>
  </si>
  <si>
    <t>fY1vJ8dM6</t>
  </si>
  <si>
    <t>pL6tN3rW1</t>
  </si>
  <si>
    <t>oE4kY2fP5</t>
  </si>
  <si>
    <t>bL8cG7uH7</t>
  </si>
  <si>
    <t>qW4bV3uD7</t>
  </si>
  <si>
    <t>wJ3yH8dA8</t>
  </si>
  <si>
    <t>dK4mS5xX0</t>
  </si>
  <si>
    <t>pG5iJ6cP1</t>
  </si>
  <si>
    <t>nE3sB0qO0</t>
  </si>
  <si>
    <t>sN3fA4bX1</t>
  </si>
  <si>
    <t>mB5yX3hU0</t>
  </si>
  <si>
    <t>uM6tR6iR7</t>
  </si>
  <si>
    <t>eA6jU4bM5</t>
  </si>
  <si>
    <t>uG6jY4kF5</t>
  </si>
  <si>
    <t>vH3nJ8iP6</t>
  </si>
  <si>
    <t>jS6mI5bV6</t>
  </si>
  <si>
    <t>pD2mJ3jR5</t>
  </si>
  <si>
    <t>mH4aB6nB4</t>
  </si>
  <si>
    <t>sX5pU1fF1</t>
  </si>
  <si>
    <t>pU0jS0kA6</t>
  </si>
  <si>
    <t>yG0cN2jX5</t>
  </si>
  <si>
    <t>iP0tC5pM3</t>
  </si>
  <si>
    <t>yU6rB0kN3</t>
  </si>
  <si>
    <t>aS6mU4eV7</t>
  </si>
  <si>
    <t>qM0dS5iG3</t>
  </si>
  <si>
    <t>dV0lD5mE2</t>
  </si>
  <si>
    <t>rE8tP0bI1</t>
  </si>
  <si>
    <t>yV2yD5uD4</t>
  </si>
  <si>
    <t>dF6wE5eS7</t>
  </si>
  <si>
    <t>sC6wR2iI0</t>
  </si>
  <si>
    <t>yV7pN0gH1</t>
  </si>
  <si>
    <t>qW8hO5pC3</t>
  </si>
  <si>
    <t>nS6kQ1nI5</t>
  </si>
  <si>
    <t>qT3aM6xG2</t>
  </si>
  <si>
    <t>aA6sL7wV3</t>
  </si>
  <si>
    <t>xV5uQ3qS2</t>
  </si>
  <si>
    <t>mU7pN8iJ1</t>
  </si>
  <si>
    <t>kB2lF2nS2</t>
  </si>
  <si>
    <t>cP3eU7pP2</t>
  </si>
  <si>
    <t>eM2aX8uC3</t>
  </si>
  <si>
    <t>mW4rG1sK3</t>
  </si>
  <si>
    <t>hA2dM1mB6</t>
  </si>
  <si>
    <t>sG0oS6nL5</t>
  </si>
  <si>
    <t>tE4rD5hY5</t>
  </si>
  <si>
    <t>bF7nP0vP0</t>
  </si>
  <si>
    <t>yL0cN2qW5</t>
  </si>
  <si>
    <t>oX2iK7wQ1</t>
  </si>
  <si>
    <t>hK8oK1iK2</t>
  </si>
  <si>
    <t>cT2jU5uK3</t>
  </si>
  <si>
    <t>vN0dI1iP2</t>
  </si>
  <si>
    <t>rM5mE3gN0</t>
  </si>
  <si>
    <t>nK2iF0rL4</t>
  </si>
  <si>
    <t>nB1gU4vW0</t>
  </si>
  <si>
    <t>sQ0hE4qJ3</t>
  </si>
  <si>
    <t>eQ1sB1rB8</t>
  </si>
  <si>
    <t>bM0sG1yI3</t>
  </si>
  <si>
    <t>rB3iK2sL7</t>
  </si>
  <si>
    <t>mW2aF6cP0</t>
  </si>
  <si>
    <t>mP1rO2sP7</t>
  </si>
  <si>
    <t>oD0gH4fF5</t>
  </si>
  <si>
    <t>vJ3kL4bA3</t>
  </si>
  <si>
    <t>sU7eM4sN3</t>
  </si>
  <si>
    <t>nL1qI5dE0</t>
  </si>
  <si>
    <t>rY3jX8mE2</t>
  </si>
  <si>
    <t>cA0iE5pW7</t>
  </si>
  <si>
    <t>pX5bU6pB2</t>
  </si>
  <si>
    <t>nR7oT7vU1</t>
  </si>
  <si>
    <t>dD6dW5dI4</t>
  </si>
  <si>
    <t>iN4wQ0lS7</t>
  </si>
  <si>
    <t>eA4kB4aI0</t>
  </si>
  <si>
    <t>fG0eN3yE8</t>
  </si>
  <si>
    <t>oA8jX5eW7</t>
  </si>
  <si>
    <t>xB1yJ5fE4</t>
  </si>
  <si>
    <t>vC7tY8bR4</t>
  </si>
  <si>
    <t>vM6oS6wL5</t>
  </si>
  <si>
    <t>gH8bG7nR3</t>
  </si>
  <si>
    <t>dR7mM2oC1</t>
  </si>
  <si>
    <t>dA4mR3lJ1</t>
  </si>
  <si>
    <t>lI1uS8lF4</t>
  </si>
  <si>
    <t>dA0vO4rH6</t>
  </si>
  <si>
    <t>vW3oO2yG7</t>
  </si>
  <si>
    <t>bH1sB2yP3</t>
  </si>
  <si>
    <t>cF2xW2oO7</t>
  </si>
  <si>
    <t>nQ7vR5cW4</t>
  </si>
  <si>
    <t>iF3yB1dW0</t>
  </si>
  <si>
    <t>aS8gD3qB8</t>
  </si>
  <si>
    <t>gN1dP8rP2</t>
  </si>
  <si>
    <t>jM2vM6tE2</t>
  </si>
  <si>
    <t>lW8mV1cD1</t>
  </si>
  <si>
    <t>mH7lN4oB1</t>
  </si>
  <si>
    <t>nP6uA0sE8</t>
  </si>
  <si>
    <t>iN5rY8vF2</t>
  </si>
  <si>
    <t>oW6wL8wD2</t>
  </si>
  <si>
    <t>jN4vV4bF5</t>
  </si>
  <si>
    <t>qP2iO6eA7</t>
  </si>
  <si>
    <t>gH1qF3aJ7</t>
  </si>
  <si>
    <t>mG6nQ0jR8</t>
  </si>
  <si>
    <t>tL4oO7yI0</t>
  </si>
  <si>
    <t>jR5hE0sT4</t>
  </si>
  <si>
    <t>kX1pO3xH0</t>
  </si>
  <si>
    <t>rS6cS1fX0</t>
  </si>
  <si>
    <t>oE1yG5iI5</t>
  </si>
  <si>
    <t>eW4kH5mD1</t>
  </si>
  <si>
    <t>uS6xC5wF5</t>
  </si>
  <si>
    <t>dR0nT2hG6</t>
  </si>
  <si>
    <t>qX4uT4hL1</t>
  </si>
  <si>
    <t>rR5rU5yB3</t>
  </si>
  <si>
    <t>bG7jR5jW7</t>
  </si>
  <si>
    <t>pD1bX2vX1</t>
  </si>
  <si>
    <t>vU3rC3aP7</t>
  </si>
  <si>
    <t>pD3jS2pV5</t>
  </si>
  <si>
    <t>kY2jN0pI0</t>
  </si>
  <si>
    <t>eU0bP4iE1</t>
  </si>
  <si>
    <t>yG2dF0vG6</t>
  </si>
  <si>
    <t>kN6qM7pN0</t>
  </si>
  <si>
    <t>xO6dQ6sA5</t>
  </si>
  <si>
    <t>aX8gS6nQ0</t>
  </si>
  <si>
    <t>bY0tQ0dM5</t>
  </si>
  <si>
    <t>bT7aX1rE4</t>
  </si>
  <si>
    <t>qS8rH2dN2</t>
  </si>
  <si>
    <t>tE0vB5eE7</t>
  </si>
  <si>
    <t>sA7uF5hU2</t>
  </si>
  <si>
    <t>xH4uO4tP1</t>
  </si>
  <si>
    <t>mW0gE5pV1</t>
  </si>
  <si>
    <t>fF6hJ0hK5</t>
  </si>
  <si>
    <t>aT5nI3fY2</t>
  </si>
  <si>
    <t>qT4uF8yS1</t>
  </si>
  <si>
    <t>mB2hK6eM3</t>
  </si>
  <si>
    <t>iF7aK4gP5</t>
  </si>
  <si>
    <t>pR5lM2jF8</t>
  </si>
  <si>
    <t>eI2qD1fT1</t>
  </si>
  <si>
    <t>fM5jU7aE8</t>
  </si>
  <si>
    <t>iE3sO8vJ7</t>
  </si>
  <si>
    <t>uA6qQ5hN0</t>
  </si>
  <si>
    <t>qG8iL2aI8</t>
  </si>
  <si>
    <t>rV1nX1cH7</t>
  </si>
  <si>
    <t>wL6kQ2mW2</t>
  </si>
  <si>
    <t>yX4dJ2iM6</t>
  </si>
  <si>
    <t>gL6gW8iL8</t>
  </si>
  <si>
    <t>tV1jV3rI1</t>
  </si>
  <si>
    <t>xC6eF8nA0</t>
  </si>
  <si>
    <t>rY2bE0bU6</t>
  </si>
  <si>
    <t>lC4oX7qU4</t>
  </si>
  <si>
    <t>iY7cU8kF7</t>
  </si>
  <si>
    <t>tK1vT3jB4</t>
  </si>
  <si>
    <t>qH0uB7fA0</t>
  </si>
  <si>
    <t>uC6dL8sO6</t>
  </si>
  <si>
    <t>uH3vO7wD0</t>
  </si>
  <si>
    <t>mK5cH3yD3</t>
  </si>
  <si>
    <t>eQ7rL7qA6</t>
  </si>
  <si>
    <t>pM1dD3sW6</t>
  </si>
  <si>
    <t>sV7oB4yC5</t>
  </si>
  <si>
    <t>mM2hX1gM7</t>
  </si>
  <si>
    <t>hV3jV8sB1</t>
  </si>
  <si>
    <t>uD7eF6vM4</t>
  </si>
  <si>
    <t>nK0jD6oL5</t>
  </si>
  <si>
    <t>yK4rF7hG0</t>
  </si>
  <si>
    <t>cC5oQ0jY7</t>
  </si>
  <si>
    <t>aI1hX3eT5</t>
  </si>
  <si>
    <t>xE0aG1sI6</t>
  </si>
  <si>
    <t>fR3qU2iP6</t>
  </si>
  <si>
    <t>mG2uL8mL4</t>
  </si>
  <si>
    <t>pP1fX2pN7</t>
  </si>
  <si>
    <t>qP6nE7iW5</t>
  </si>
  <si>
    <t>rD6cM7pW3</t>
  </si>
  <si>
    <t>iO2fF1cW5</t>
  </si>
  <si>
    <t>wU3xO5kR7</t>
  </si>
  <si>
    <t>bB2yG1lK1</t>
  </si>
  <si>
    <t>xD1vH1rW1</t>
  </si>
  <si>
    <t>oR5pR5kU6</t>
  </si>
  <si>
    <t>vH8nS4qN1</t>
  </si>
  <si>
    <t>yD5bJ2kW5</t>
  </si>
  <si>
    <t>hT7tT2xR6</t>
  </si>
  <si>
    <t>rY7iG4jI4</t>
  </si>
  <si>
    <t>oR8gS7nN3</t>
  </si>
  <si>
    <t>sW7nO7cD0</t>
  </si>
  <si>
    <t>oS5iH4rY0</t>
  </si>
  <si>
    <t>wL7lV7lX0</t>
  </si>
  <si>
    <t>yW3lH0vY2</t>
  </si>
  <si>
    <t>qK2dN6pC5</t>
  </si>
  <si>
    <t>wS2pC6oI4</t>
  </si>
  <si>
    <t>yF2bI3wW4</t>
  </si>
  <si>
    <t>cR1mW4hP8</t>
  </si>
  <si>
    <t>kJ2lP2pE6</t>
  </si>
  <si>
    <t>yK0pA2fX1</t>
  </si>
  <si>
    <t>oQ5mL0lR1</t>
  </si>
  <si>
    <t>vO8aI5sT6</t>
  </si>
  <si>
    <t>iQ8iG3nL8</t>
  </si>
  <si>
    <t>mF6oV2kK8</t>
  </si>
  <si>
    <t>hD7rX6kG1</t>
  </si>
  <si>
    <t>eC4sR7aL4</t>
  </si>
  <si>
    <t>hY5rN2uR8</t>
  </si>
  <si>
    <t>iW6cK8qQ7</t>
  </si>
  <si>
    <t>jO0pK5aR3</t>
  </si>
  <si>
    <t>rP8yP1bI7</t>
  </si>
  <si>
    <t>aE7uV4qY3</t>
  </si>
  <si>
    <t>dU0yC5dY5</t>
  </si>
  <si>
    <t>rT2oN4jV0</t>
  </si>
  <si>
    <t>fC5gU3cG3</t>
  </si>
  <si>
    <t>rF4rB4aM6</t>
  </si>
  <si>
    <t>mY1bB2yI5</t>
  </si>
  <si>
    <t>mN5qD4jC8</t>
  </si>
  <si>
    <t>cS6rF3iY5</t>
  </si>
  <si>
    <t>aK8iF3qG8</t>
  </si>
  <si>
    <t>mD1mW2rF1</t>
  </si>
  <si>
    <t>pK7oI6dK1</t>
  </si>
  <si>
    <t>pA6tV2sD8</t>
  </si>
  <si>
    <t>gE5qW5mE5</t>
  </si>
  <si>
    <t>nH5jE8qK4</t>
  </si>
  <si>
    <t>gJ0aW5hB8</t>
  </si>
  <si>
    <t>wO5bY1pW8</t>
  </si>
  <si>
    <t>fS2lU6mW1</t>
  </si>
  <si>
    <t>aR2pE0dV7</t>
  </si>
  <si>
    <t>sI4bY8nD3</t>
  </si>
  <si>
    <t>nD8hN2eV0</t>
  </si>
  <si>
    <t>jQ5nF0mQ3</t>
  </si>
  <si>
    <t>lH0rV7vM2</t>
  </si>
  <si>
    <t>mC5nM8cJ0</t>
  </si>
  <si>
    <t>pK8pK5iI1</t>
  </si>
  <si>
    <t>rE6aQ6eG3</t>
  </si>
  <si>
    <t>kU3rV1qJ5</t>
  </si>
  <si>
    <t>qF1wW8uJ2</t>
  </si>
  <si>
    <t>hG4dD4kM3</t>
  </si>
  <si>
    <t>wF7bQ7tF8</t>
  </si>
  <si>
    <t>aS4aK1bY3</t>
  </si>
  <si>
    <t>mV8uL2qR2</t>
  </si>
  <si>
    <t>eH8vB7iK7</t>
  </si>
  <si>
    <t>bU3rC3jP7</t>
  </si>
  <si>
    <t>uH6rC4bI1</t>
  </si>
  <si>
    <t>gK5cH8cX5</t>
  </si>
  <si>
    <t>rU6jI4sG0</t>
  </si>
  <si>
    <t>aI1sO6kN7</t>
  </si>
  <si>
    <t>eO1jP7oQ4</t>
  </si>
  <si>
    <t>sQ6dG6lG7</t>
  </si>
  <si>
    <t>bM0vO2kN0</t>
  </si>
  <si>
    <t>xY7cN5wW3</t>
  </si>
  <si>
    <t>uD2kW5vS1</t>
  </si>
  <si>
    <t>vI2wU8tO4</t>
  </si>
  <si>
    <t>wW0oF1lG4</t>
  </si>
  <si>
    <t>yP3vM0mE8</t>
  </si>
  <si>
    <t>fK2rA7uO4</t>
  </si>
  <si>
    <t>lN8pX1xX1</t>
  </si>
  <si>
    <t>bI5gU7lK3</t>
  </si>
  <si>
    <t>xG7dF7mL8</t>
  </si>
  <si>
    <t>qF2kJ7yO5</t>
  </si>
  <si>
    <t>gH6cJ7uB4</t>
  </si>
  <si>
    <t>kT7kR3mG1</t>
  </si>
  <si>
    <t>gR8jI4jG8</t>
  </si>
  <si>
    <t>eA4mY7wW4</t>
  </si>
  <si>
    <t>cK4rY3aE0</t>
  </si>
  <si>
    <t>aG3fL7cV7</t>
  </si>
  <si>
    <t>fA6hR0eX2</t>
  </si>
  <si>
    <t>tT2gP1hA7</t>
  </si>
  <si>
    <t>rS4vP2gU2</t>
  </si>
  <si>
    <t>gN1sV4nJ3</t>
  </si>
  <si>
    <t>iM0uF8wW8</t>
  </si>
  <si>
    <t>sX5fP7cT5</t>
  </si>
  <si>
    <t>jQ1wV8qF3</t>
  </si>
  <si>
    <t>aB4gS5hD1</t>
  </si>
  <si>
    <t>wH5fE2gC8</t>
  </si>
  <si>
    <t>iA5hP3nD0</t>
  </si>
  <si>
    <t>kA2cP5lN0</t>
  </si>
  <si>
    <t>bB6wO8qH4</t>
  </si>
  <si>
    <t>tE5oD1pD3</t>
  </si>
  <si>
    <t>rM0nC6vC6</t>
  </si>
  <si>
    <t>bE1jG2xG1</t>
  </si>
  <si>
    <t>qM3pF6aK3</t>
  </si>
  <si>
    <t>gH3aA5yA7</t>
  </si>
  <si>
    <t>xT8xK1hK1</t>
  </si>
  <si>
    <t>nI0qE0aN0</t>
  </si>
  <si>
    <t>gD6gK0tA3</t>
  </si>
  <si>
    <t>wP2gB8eI6</t>
  </si>
  <si>
    <t>hP3rC5fX1</t>
  </si>
  <si>
    <t>nU6qX3yT2</t>
  </si>
  <si>
    <t>oC6gL8dN4</t>
  </si>
  <si>
    <t>gQ0nW3gU4</t>
  </si>
  <si>
    <t>lD6wJ6fM5</t>
  </si>
  <si>
    <t>qQ6lK8qM7</t>
  </si>
  <si>
    <t>gE8wJ1vS2</t>
  </si>
  <si>
    <t>kS7kJ6jH4</t>
  </si>
  <si>
    <t>hS7pE7xK4</t>
  </si>
  <si>
    <t>oM2iB2vT4</t>
  </si>
  <si>
    <t>bI6iT0tW6</t>
  </si>
  <si>
    <t>dH4vJ5qM0</t>
  </si>
  <si>
    <t>cL6gV1aM7</t>
  </si>
  <si>
    <t>hL2vY8dY0</t>
  </si>
  <si>
    <t>gH0tG5yI1</t>
  </si>
  <si>
    <t>vG3uV1uH7</t>
  </si>
  <si>
    <t>xV7lE0eC0</t>
  </si>
  <si>
    <t>iQ1cW4dD4</t>
  </si>
  <si>
    <t>qR5gR6bH0</t>
  </si>
  <si>
    <t>lN7dN7yY2</t>
  </si>
  <si>
    <t>jQ6lK4oD5</t>
  </si>
  <si>
    <t>dC5gY1hP4</t>
  </si>
  <si>
    <t>xF2tP6oQ8</t>
  </si>
  <si>
    <t>fG7pI0kJ8</t>
  </si>
  <si>
    <t>gF2sY4tO7</t>
  </si>
  <si>
    <t>eM6iV3hV5</t>
  </si>
  <si>
    <t>hE6gJ6oQ0</t>
  </si>
  <si>
    <t>pK8dP1cP6</t>
  </si>
  <si>
    <t>mY8xH1lP1</t>
  </si>
  <si>
    <t>fA6uY5oI0</t>
  </si>
  <si>
    <t>eJ8bM8qV5</t>
  </si>
  <si>
    <t>jR2oQ3qK8</t>
  </si>
  <si>
    <t>sM5aG4mF8</t>
  </si>
  <si>
    <t>yJ3iN3cP3</t>
  </si>
  <si>
    <t>qR3iH7rT5</t>
  </si>
  <si>
    <t>sP3hY6dI7</t>
  </si>
  <si>
    <t>mQ2rH6eS6</t>
  </si>
  <si>
    <t>oP1yH0qR3</t>
  </si>
  <si>
    <t>xJ7mH2pF6</t>
  </si>
  <si>
    <t>dN4gT1xK7</t>
  </si>
  <si>
    <t>sM5fM5bN4</t>
  </si>
  <si>
    <t>iQ0kL0fJ7</t>
  </si>
  <si>
    <t>gT7xG2yS3</t>
  </si>
  <si>
    <t>qU1wW2rD6</t>
  </si>
  <si>
    <t>gU4lX5kX6</t>
  </si>
  <si>
    <t>pV4gC7qK2</t>
  </si>
  <si>
    <t>tE1hI5bE3</t>
  </si>
  <si>
    <t>pH2nG7wM0</t>
  </si>
  <si>
    <t>wO3rR0rW2</t>
  </si>
  <si>
    <t>iD1kK2dM7</t>
  </si>
  <si>
    <t>iG6tN1mY3</t>
  </si>
  <si>
    <t>cH1fJ5eD8</t>
  </si>
  <si>
    <t>pR5wF2dL3</t>
  </si>
  <si>
    <t>hA3xO1mG2</t>
  </si>
  <si>
    <t>vA8sU1qX6</t>
  </si>
  <si>
    <t>vY4nF3bB8</t>
  </si>
  <si>
    <t>wW8tM1nP4</t>
  </si>
  <si>
    <t>vN2bL1fV2</t>
  </si>
  <si>
    <t>kP3kR3lM1</t>
  </si>
  <si>
    <t>gY5jP7wS8</t>
  </si>
  <si>
    <t>hU0pJ2cQ7</t>
  </si>
  <si>
    <t>nV6iU6gS0</t>
  </si>
  <si>
    <t>aX1nS7pS1</t>
  </si>
  <si>
    <t>iH3iB3dO1</t>
  </si>
  <si>
    <t>cM8qQ7vE1</t>
  </si>
  <si>
    <t>cP6wG3gY1</t>
  </si>
  <si>
    <t>kE1sC3pN3</t>
  </si>
  <si>
    <t>lN8lT0nR2</t>
  </si>
  <si>
    <t>dM7kM7nQ7</t>
  </si>
  <si>
    <t>uW8eB7jC2</t>
  </si>
  <si>
    <t>nX2xR1qH2</t>
  </si>
  <si>
    <t>bP2xQ0bS1</t>
  </si>
  <si>
    <t>eE4kF7lO7</t>
  </si>
  <si>
    <t>kL8nN2fQ4</t>
  </si>
  <si>
    <t>uI6jY8lT4</t>
  </si>
  <si>
    <t>pB1hV7tU2</t>
  </si>
  <si>
    <t>wX7qW2sT7</t>
  </si>
  <si>
    <t>iM5bU2wL7</t>
  </si>
  <si>
    <t>wV2kV1dF8</t>
  </si>
  <si>
    <t>rA7sW2kI1</t>
  </si>
  <si>
    <t>vW8mV6bU8</t>
  </si>
  <si>
    <t>uI7nU2cW7</t>
  </si>
  <si>
    <t>pO2lX8uR5</t>
  </si>
  <si>
    <t>dO3tG5dB3</t>
  </si>
  <si>
    <t>eJ2hD5kR2</t>
  </si>
  <si>
    <t>rJ8iT3oW8</t>
  </si>
  <si>
    <t>yL8rH2cA3</t>
  </si>
  <si>
    <t>tK7fS8lV5</t>
  </si>
  <si>
    <t>wA8nJ8sL5</t>
  </si>
  <si>
    <t>tO5oG8yN6</t>
  </si>
  <si>
    <t>xJ5eP1hY4</t>
  </si>
  <si>
    <t>kP4aA8uD3</t>
  </si>
  <si>
    <t>aO5aV1qR1</t>
  </si>
  <si>
    <t>tG0yB0yT0</t>
  </si>
  <si>
    <t>jO2pU6jF0</t>
  </si>
  <si>
    <t>jO0aR2yQ0</t>
  </si>
  <si>
    <t>sG0hL1hH1</t>
  </si>
  <si>
    <t>bU1rT6cT6</t>
  </si>
  <si>
    <t>xY4pF0lJ4</t>
  </si>
  <si>
    <t>nW8cN4yA6</t>
  </si>
  <si>
    <t>gP1bL7xP3</t>
  </si>
  <si>
    <t>kP3aS2jK5</t>
  </si>
  <si>
    <t>jY5iK4fS7</t>
  </si>
  <si>
    <t>gB6tI8rS1</t>
  </si>
  <si>
    <t>aY4fF6fP0</t>
  </si>
  <si>
    <t>hE0oA0mT3</t>
  </si>
  <si>
    <t>wW3wD7jR5</t>
  </si>
  <si>
    <t>qJ2vQ5aF0</t>
  </si>
  <si>
    <t>iI5mK5vS5</t>
  </si>
  <si>
    <t>nH2yM8yP1</t>
  </si>
  <si>
    <t>oD8tQ3yN7</t>
  </si>
  <si>
    <t>yO4jP0cA4</t>
  </si>
  <si>
    <t>vR6xN3cQ4</t>
  </si>
  <si>
    <t>jC2wX7jC2</t>
  </si>
  <si>
    <t>yK4tK2wD5</t>
  </si>
  <si>
    <t>nH7tT7rC4</t>
  </si>
  <si>
    <t>tK1bJ3yD0</t>
  </si>
  <si>
    <t>uY4fL2kA1</t>
  </si>
  <si>
    <t>aY0iU8rD3</t>
  </si>
  <si>
    <t>aN4kW2jK4</t>
  </si>
  <si>
    <t>mB1iX2eW6</t>
  </si>
  <si>
    <t>hS8nR5vN6</t>
  </si>
  <si>
    <t>oM8kN3xK0</t>
  </si>
  <si>
    <t>nF6iG0jY4</t>
  </si>
  <si>
    <t>wW7jV2cK7</t>
  </si>
  <si>
    <t>eM5kW0uG8</t>
  </si>
  <si>
    <t>pI8uN6jC6</t>
  </si>
  <si>
    <t>rJ4pG7iE2</t>
  </si>
  <si>
    <t>pD4dU2xH7</t>
  </si>
  <si>
    <t>pJ1hY6pL6</t>
  </si>
  <si>
    <t>hQ7gB8cV7</t>
  </si>
  <si>
    <t>aH0kP7jE2</t>
  </si>
  <si>
    <t>hC5wR6vF3</t>
  </si>
  <si>
    <t>fP7aA0gG5</t>
  </si>
  <si>
    <t>qY4jN3tO1</t>
  </si>
  <si>
    <t>lD7oV6oY4</t>
  </si>
  <si>
    <t>mY2yO7vJ2</t>
  </si>
  <si>
    <t>wJ0gG3dM7</t>
  </si>
  <si>
    <t>rW8kP6tG2</t>
  </si>
  <si>
    <t>hE3fM6bR4</t>
  </si>
  <si>
    <t>iD2wL0fU6</t>
  </si>
  <si>
    <t>lF0sD5qJ0</t>
  </si>
  <si>
    <t>rA7hO7oV6</t>
  </si>
  <si>
    <t>sE3uV1kY6</t>
  </si>
  <si>
    <t>mJ6tG7mK8</t>
  </si>
  <si>
    <t>gH1bP3kW2</t>
  </si>
  <si>
    <t>lX2uR2jJ0</t>
  </si>
  <si>
    <t>vQ0gC8tH4</t>
  </si>
  <si>
    <t>iO5vC5vO5</t>
  </si>
  <si>
    <t>nP4gR6qR6</t>
  </si>
  <si>
    <t>rH8gQ4rD3</t>
  </si>
  <si>
    <t>mX1qU5xP2</t>
  </si>
  <si>
    <t>uP7gV0eM5</t>
  </si>
  <si>
    <t>mV3fM3qC8</t>
  </si>
  <si>
    <t>tK8wY3cN0</t>
  </si>
  <si>
    <t>fE6xB7bX5</t>
  </si>
  <si>
    <t>pA2tF4fS6</t>
  </si>
  <si>
    <t>iD2jI0yT3</t>
  </si>
  <si>
    <t>uF6qE2rJ6</t>
  </si>
  <si>
    <t>qX8cM2aA4</t>
  </si>
  <si>
    <t>yW6hC5lM6</t>
  </si>
  <si>
    <t>bJ8eO4jR6</t>
  </si>
  <si>
    <t>cM0vQ8hN4</t>
  </si>
  <si>
    <t>aR3sV2wE0</t>
  </si>
  <si>
    <t>tC7lF2gV8</t>
  </si>
  <si>
    <t>lH0lA8bT0</t>
  </si>
  <si>
    <t>bO0cI4tO5</t>
  </si>
  <si>
    <t>xL7jL4pH3</t>
  </si>
  <si>
    <t>mL1aS4fT1</t>
  </si>
  <si>
    <t>fO0mF2aU7</t>
  </si>
  <si>
    <t>oC8dX0qA4</t>
  </si>
  <si>
    <t>hF5lK1pG7</t>
  </si>
  <si>
    <t>sH3jW1kU3</t>
  </si>
  <si>
    <t>tQ3tW2uL3</t>
  </si>
  <si>
    <t>dD4nK1bF5</t>
  </si>
  <si>
    <t>hN2kT6nN7</t>
  </si>
  <si>
    <t>gI2cX7dW7</t>
  </si>
  <si>
    <t>vM5pY0sD0</t>
  </si>
  <si>
    <t>fG2pK5tQ5</t>
  </si>
  <si>
    <t>oQ5sS5dP3</t>
  </si>
  <si>
    <t>oN2qB7bM2</t>
  </si>
  <si>
    <t>yN1nB6qX3</t>
  </si>
  <si>
    <t>hG2oM6oD8</t>
  </si>
  <si>
    <t>eV5jV3oB1</t>
  </si>
  <si>
    <t>lL4bH5eU4</t>
  </si>
  <si>
    <t>gN0wK1mK7</t>
  </si>
  <si>
    <t>eR2cX2hU8</t>
  </si>
  <si>
    <t>gM4sB6eG5</t>
  </si>
  <si>
    <t>uX0yP5fB8</t>
  </si>
  <si>
    <t>jO0yL0pD2</t>
  </si>
  <si>
    <t>rK8bQ7yW6</t>
  </si>
  <si>
    <t>xL8yG7kJ4</t>
  </si>
  <si>
    <t>rB0gX7eV1</t>
  </si>
  <si>
    <t>sN2wF2uE8</t>
  </si>
  <si>
    <t>rG8wB2lE5</t>
  </si>
  <si>
    <t>yI1iK2aX3</t>
  </si>
  <si>
    <t>fI6aI0fT2</t>
  </si>
  <si>
    <t>rT8cU1nW7</t>
  </si>
  <si>
    <t>sT7dP8uG0</t>
  </si>
  <si>
    <t>wV7fP2sW5</t>
  </si>
  <si>
    <t>hO0eX3aV7</t>
  </si>
  <si>
    <t>dJ5fU7hS4</t>
  </si>
  <si>
    <t>vI8iE7iJ1</t>
  </si>
  <si>
    <t>aO0uB4pO8</t>
  </si>
  <si>
    <t>jB8vY0bG2</t>
  </si>
  <si>
    <t>mV8jO5gS6</t>
  </si>
  <si>
    <t>dM4kE7iD2</t>
  </si>
  <si>
    <t>sI8dN0dE4</t>
  </si>
  <si>
    <t>kU1bU5qW5</t>
  </si>
  <si>
    <t>fO7eL0oF1</t>
  </si>
  <si>
    <t>fH6qG4gJ3</t>
  </si>
  <si>
    <t>vK1lC3sG4</t>
  </si>
  <si>
    <t>uE0sY4oU8</t>
  </si>
  <si>
    <t>gO3gF8nL4</t>
  </si>
  <si>
    <t>gJ0eA4pD4</t>
  </si>
  <si>
    <t>jL6eJ7iA3</t>
  </si>
  <si>
    <t>gE5bV7cL5</t>
  </si>
  <si>
    <t>jG0bL0tF2</t>
  </si>
  <si>
    <t>gC3cY2lL3</t>
  </si>
  <si>
    <t>uF2qK1gO8</t>
  </si>
  <si>
    <t>cF3nP0xJ4</t>
  </si>
  <si>
    <t>pF8wL6iT8</t>
  </si>
  <si>
    <t>jY5hM0qV2</t>
  </si>
  <si>
    <t>qT8mP8cY3</t>
  </si>
  <si>
    <t>uB8eI2jP6</t>
  </si>
  <si>
    <t>cN1yM8gJ3</t>
  </si>
  <si>
    <t>oJ0fK2fV3</t>
  </si>
  <si>
    <t>bM7aN2aX4</t>
  </si>
  <si>
    <t>nM5nE1qF7</t>
  </si>
  <si>
    <t>gN5qY1nG1</t>
  </si>
  <si>
    <t>cU6lB7lO2</t>
  </si>
  <si>
    <t>nR6mG2rX7</t>
  </si>
  <si>
    <t>mC0iJ8fL1</t>
  </si>
  <si>
    <t>kW2qE1xF2</t>
  </si>
  <si>
    <t>pA0aI4mO6</t>
  </si>
  <si>
    <t>nW0mR7xG4</t>
  </si>
  <si>
    <t>iL6fV0cF1</t>
  </si>
  <si>
    <t>jV2wX6aL1</t>
  </si>
  <si>
    <t>mX4pL5yY7</t>
  </si>
  <si>
    <t>dA1sQ5eQ3</t>
  </si>
  <si>
    <t>sH3pN4hW2</t>
  </si>
  <si>
    <t>aJ8dH1oA2</t>
  </si>
  <si>
    <t>uG5sT6vH7</t>
  </si>
  <si>
    <t>dS6eR2tP2</t>
  </si>
  <si>
    <t>iL6vX3uE3</t>
  </si>
  <si>
    <t>xG7kI4lL7</t>
  </si>
  <si>
    <t>tN1mT5oH0</t>
  </si>
  <si>
    <t>vU5lM3tU3</t>
  </si>
  <si>
    <t>dC8eX1qA2</t>
  </si>
  <si>
    <t>bK4uV7tK2</t>
  </si>
  <si>
    <t>kU2tW1kA0</t>
  </si>
  <si>
    <t>tN4vR6wA3</t>
  </si>
  <si>
    <t>aX4jU1jW3</t>
  </si>
  <si>
    <t>eB5iM1kJ5</t>
  </si>
  <si>
    <t>lK1jB3hX1</t>
  </si>
  <si>
    <t>aY1nD2mY8</t>
  </si>
  <si>
    <t>sC2bX1uR8</t>
  </si>
  <si>
    <t>dF0eR0tL7</t>
  </si>
  <si>
    <t>bC8fY7pW4</t>
  </si>
  <si>
    <t>qO8vY8tB2</t>
  </si>
  <si>
    <t>bK2lA5jT4</t>
  </si>
  <si>
    <t>eT5oE3sU0</t>
  </si>
  <si>
    <t>eO0kD1lP2</t>
  </si>
  <si>
    <t>mK5gN2eH1</t>
  </si>
  <si>
    <t>iW0dG7kP4</t>
  </si>
  <si>
    <t>iG3wT5pS4</t>
  </si>
  <si>
    <t>uB0xI6bJ6</t>
  </si>
  <si>
    <t>hD4gK1pJ0</t>
  </si>
  <si>
    <t>iR2mF0qV7</t>
  </si>
  <si>
    <t>rG4kR3bE2</t>
  </si>
  <si>
    <t>uQ8kH4oT6</t>
  </si>
  <si>
    <t>wP0mO0vG4</t>
  </si>
  <si>
    <t>qV0rB3cS3</t>
  </si>
  <si>
    <t>tH2rN5mX1</t>
  </si>
  <si>
    <t>wX7iU6iQ4</t>
  </si>
  <si>
    <t>tG7pT0kU4</t>
  </si>
  <si>
    <t>uD3rX5uO6</t>
  </si>
  <si>
    <t>iA2xW1oY3</t>
  </si>
  <si>
    <t>xC4bD4hY6</t>
  </si>
  <si>
    <t>aJ7yU5rV0</t>
  </si>
  <si>
    <t>aS2nX8vT2</t>
  </si>
  <si>
    <t>yV3oN6oB7</t>
  </si>
  <si>
    <t>qC4cA1pK8</t>
  </si>
  <si>
    <t>hG2eM8sJ3</t>
  </si>
  <si>
    <t>wY0gJ2lL3</t>
  </si>
  <si>
    <t>iA2dM1fX8</t>
  </si>
  <si>
    <t>bR8hB7jV3</t>
  </si>
  <si>
    <t>lX3rU0iV8</t>
  </si>
  <si>
    <t>jI6hE2iT0</t>
  </si>
  <si>
    <t>jX1uD1aB7</t>
  </si>
  <si>
    <t>nJ6nX3jO2</t>
  </si>
  <si>
    <t>jJ8hW5vE3</t>
  </si>
  <si>
    <t>tK3aS6gC1</t>
  </si>
  <si>
    <t>gH6qQ8iF4</t>
  </si>
  <si>
    <t>kT5eC4wX7</t>
  </si>
  <si>
    <t>qT0tJ8xG1</t>
  </si>
  <si>
    <t>fH2iW1wT1</t>
  </si>
  <si>
    <t>nT4dG7pS3</t>
  </si>
  <si>
    <t>cC3bK1uX7</t>
  </si>
  <si>
    <t>qR5jO0qB7</t>
  </si>
  <si>
    <t>fY6qK4sI0</t>
  </si>
  <si>
    <t>sD1hJ8wH3</t>
  </si>
  <si>
    <t>hJ6fJ7hI2</t>
  </si>
  <si>
    <t>nE1vT4bA1</t>
  </si>
  <si>
    <t>wR0rF2iT7</t>
  </si>
  <si>
    <t>fT7yG5sI0</t>
  </si>
  <si>
    <t>kV6gV0uH4</t>
  </si>
  <si>
    <t>kF4dA0oJ6</t>
  </si>
  <si>
    <t>xS5aI3qB8</t>
  </si>
  <si>
    <t>eL3xB1kI4</t>
  </si>
  <si>
    <t>bL5bS5nJ0</t>
  </si>
  <si>
    <t>wW2aD8bB4</t>
  </si>
  <si>
    <t>lT2iL7mI8</t>
  </si>
  <si>
    <t>bF3mF7lN5</t>
  </si>
  <si>
    <t>aN3cB2jW8</t>
  </si>
  <si>
    <t>fQ3kP6eQ4</t>
  </si>
  <si>
    <t>iX6pB3uF7</t>
  </si>
  <si>
    <t>oG8nV8gX3</t>
  </si>
  <si>
    <t>nA6aO4rQ1</t>
  </si>
  <si>
    <t>rV6qS6nL1</t>
  </si>
  <si>
    <t>jB8qM7gM5</t>
  </si>
  <si>
    <t>hD3xK6nM1</t>
  </si>
  <si>
    <t>yT5jL5sD7</t>
  </si>
  <si>
    <t>mQ3vM2bD6</t>
  </si>
  <si>
    <t>tL8fF7gA2</t>
  </si>
  <si>
    <t>qE6eP2bQ7</t>
  </si>
  <si>
    <t>qL3iC7xT1</t>
  </si>
  <si>
    <t>rF1kY6xY7</t>
  </si>
  <si>
    <t>pA5mW6fJ5</t>
  </si>
  <si>
    <t>yA3xJ8rX0</t>
  </si>
  <si>
    <t>tD4bD4jX6</t>
  </si>
  <si>
    <t>iX7pQ7sU4</t>
  </si>
  <si>
    <t>hM7fU3kC8</t>
  </si>
  <si>
    <t>xA1dB0aK8</t>
  </si>
  <si>
    <t>sH6bT4nG0</t>
  </si>
  <si>
    <t>aP2eP2nS5</t>
  </si>
  <si>
    <t>wF0eE2sC1</t>
  </si>
  <si>
    <t>xJ7jJ3gS4</t>
  </si>
  <si>
    <t>yI2bB4aV1</t>
  </si>
  <si>
    <t>bM1qY6lD4</t>
  </si>
  <si>
    <t>aW5nP1nQ7</t>
  </si>
  <si>
    <t>uT6kW3hF2</t>
  </si>
  <si>
    <t>oC2dK7uL4</t>
  </si>
  <si>
    <t>kP2vY7sE3</t>
  </si>
  <si>
    <t>rL1mN2lC7</t>
  </si>
  <si>
    <t>yY2tL2tG4</t>
  </si>
  <si>
    <t>yK1pT7jY4</t>
  </si>
  <si>
    <t>mS3wN4wQ3</t>
  </si>
  <si>
    <t>aM0nR8uL2</t>
  </si>
  <si>
    <t>fG4iK7bO1</t>
  </si>
  <si>
    <t>yH2rL8nG2</t>
  </si>
  <si>
    <t>wD8uQ6rM0</t>
  </si>
  <si>
    <t>oH1mC4bN7</t>
  </si>
  <si>
    <t>pJ3tK6cW2</t>
  </si>
  <si>
    <t>dK2vR5uL8</t>
  </si>
  <si>
    <t>mG3uS5kW7</t>
  </si>
  <si>
    <t>vN5qC1qF6</t>
  </si>
  <si>
    <t>tS4oM0gP8</t>
  </si>
  <si>
    <t>vV1xF2bE6</t>
  </si>
  <si>
    <t>cO1aO4jX3</t>
  </si>
  <si>
    <t>uH3iH4uN3</t>
  </si>
  <si>
    <t>vY6fV8sN0</t>
  </si>
  <si>
    <t>eE4mO7cD2</t>
  </si>
  <si>
    <t>wI6qO8xC8</t>
  </si>
  <si>
    <t>bV5wJ2wE0</t>
  </si>
  <si>
    <t>mW1xB1dS4</t>
  </si>
  <si>
    <t>qI5oI5wA7</t>
  </si>
  <si>
    <t>cO6bI4tI6</t>
  </si>
  <si>
    <t>cB8iG7fY7</t>
  </si>
  <si>
    <t>pV0hG3qO7</t>
  </si>
  <si>
    <t>dS8oM7dO6</t>
  </si>
  <si>
    <t>cT7vQ3nU3</t>
  </si>
  <si>
    <t>tT2eO3rI8</t>
  </si>
  <si>
    <t>aL0nM6uK2</t>
  </si>
  <si>
    <t>dH2hX2rF1</t>
  </si>
  <si>
    <t>cO3xY1jF1</t>
  </si>
  <si>
    <t>gL1sE0pC7</t>
  </si>
  <si>
    <t>cB7rA1wI3</t>
  </si>
  <si>
    <t>rN4gM2mM2</t>
  </si>
  <si>
    <t>aY3nY5oE6</t>
  </si>
  <si>
    <t>fX3vN5eC5</t>
  </si>
  <si>
    <t>iS6bO2rH3</t>
  </si>
  <si>
    <t>aW8sD0mS6</t>
  </si>
  <si>
    <t>nX8tM1pK1</t>
  </si>
  <si>
    <t>nC2oR7tL7</t>
  </si>
  <si>
    <t>lC2pJ1bB5</t>
  </si>
  <si>
    <t>vO2cR6eA6</t>
  </si>
  <si>
    <t>qS7yG0dC3</t>
  </si>
  <si>
    <t>eC7wE1fK0</t>
  </si>
  <si>
    <t>qC3fG8eB8</t>
  </si>
  <si>
    <t>oE3yE8vT3</t>
  </si>
  <si>
    <t>cC6sP3wW7</t>
  </si>
  <si>
    <t>qI1eG8sP3</t>
  </si>
  <si>
    <t>tC1yW7iL4</t>
  </si>
  <si>
    <t>xX7wC5gF4</t>
  </si>
  <si>
    <t>qM3fO1nB6</t>
  </si>
  <si>
    <t>uH5cH6uR5</t>
  </si>
  <si>
    <t>hF6dU3gT3</t>
  </si>
  <si>
    <t>jG3sD6yG8</t>
  </si>
  <si>
    <t>cF3qP7jH0</t>
  </si>
  <si>
    <t>rD2oS7dP7</t>
  </si>
  <si>
    <t>yV8vW7nR8</t>
  </si>
  <si>
    <t>iF6hP5xU4</t>
  </si>
  <si>
    <t>iS7qB2tF8</t>
  </si>
  <si>
    <t>oO3kU0nJ3</t>
  </si>
  <si>
    <t>hK3yR8qS3</t>
  </si>
  <si>
    <t>fQ4sH0nC1</t>
  </si>
  <si>
    <t>dN7cL0bC8</t>
  </si>
  <si>
    <t>bA2wX3pL5</t>
  </si>
  <si>
    <t>cW0tA2mG6</t>
  </si>
  <si>
    <t>bA7gN7aN6</t>
  </si>
  <si>
    <t>rT2qN6eW7</t>
  </si>
  <si>
    <t>dS3oX6dA8</t>
  </si>
  <si>
    <t>jD4sY3lK2</t>
  </si>
  <si>
    <t>fO6hT5jX5</t>
  </si>
  <si>
    <t>aT5dI8pK6</t>
  </si>
  <si>
    <t>nQ1oS5jV3</t>
  </si>
  <si>
    <t>lT2vY5cD5</t>
  </si>
  <si>
    <t>fH3sI5kD3</t>
  </si>
  <si>
    <t>eS3bA1aV2</t>
  </si>
  <si>
    <t>dX3gS2lF8</t>
  </si>
  <si>
    <t>oA3iJ4oL8</t>
  </si>
  <si>
    <t>vJ0aH6nK3</t>
  </si>
  <si>
    <t>hY2vE3aI0</t>
  </si>
  <si>
    <t>wI8kD6xI0</t>
  </si>
  <si>
    <t>lC2kP5gS5</t>
  </si>
  <si>
    <t>sN0iL1bK1</t>
  </si>
  <si>
    <t>rM5eS5jF4</t>
  </si>
  <si>
    <t>bW3vP7xR2</t>
  </si>
  <si>
    <t>cT0pT5nG8</t>
  </si>
  <si>
    <t>dI7tF0cQ3</t>
  </si>
  <si>
    <t>cP5oY7hW0</t>
  </si>
  <si>
    <t>fN4aH0tV3</t>
  </si>
  <si>
    <t>iH6tP1nS4</t>
  </si>
  <si>
    <t>kS3sT2nJ2</t>
  </si>
  <si>
    <t>eK8eB3iS3</t>
  </si>
  <si>
    <t>aA6eP0xE8</t>
  </si>
  <si>
    <t>jP3fW0mE4</t>
  </si>
  <si>
    <t>kU1mO7yS2</t>
  </si>
  <si>
    <t>vY5eD1iV1</t>
  </si>
  <si>
    <t>dM5eL7lU8</t>
  </si>
  <si>
    <t>wO8aI3iX2</t>
  </si>
  <si>
    <t>nT3wM3nK0</t>
  </si>
  <si>
    <t>yT5cW2oD1</t>
  </si>
  <si>
    <t>jK3iH6kT4</t>
  </si>
  <si>
    <t>yO0eO0qW5</t>
  </si>
  <si>
    <t>gT8jA2dB2</t>
  </si>
  <si>
    <t>lC8eR2vK0</t>
  </si>
  <si>
    <t>tL1uJ4fJ4</t>
  </si>
  <si>
    <t>oK8pX3uK1</t>
  </si>
  <si>
    <t>jW8hV5oV6</t>
  </si>
  <si>
    <t>nU3mG6tC8</t>
  </si>
  <si>
    <t>dE3gG2hP5</t>
  </si>
  <si>
    <t>gD0vQ8nI0</t>
  </si>
  <si>
    <t>tY8vL7cQ1</t>
  </si>
  <si>
    <t>jU5jY3kV8</t>
  </si>
  <si>
    <t>gL1eC1dF5</t>
  </si>
  <si>
    <t>mS3fH7bO1</t>
  </si>
  <si>
    <t>rU5aC8gK1</t>
  </si>
  <si>
    <t>tT1iK1iE3</t>
  </si>
  <si>
    <t>uB4eY6xT7</t>
  </si>
  <si>
    <t>rT3eS5fK4</t>
  </si>
  <si>
    <t>gY6yQ4aV6</t>
  </si>
  <si>
    <t>dH4wC4fA0</t>
  </si>
  <si>
    <t>cK2gX5gD3</t>
  </si>
  <si>
    <t>dY6iA4eA0</t>
  </si>
  <si>
    <t>xG0bJ1eL2</t>
  </si>
  <si>
    <t>dJ3eP1gJ2</t>
  </si>
  <si>
    <t>tL0pP5bW2</t>
  </si>
  <si>
    <t>dP7pS5gN2</t>
  </si>
  <si>
    <t>aY1vS1oN8</t>
  </si>
  <si>
    <t>eU3fK1qV7</t>
  </si>
  <si>
    <t>nW0nR5nF7</t>
  </si>
  <si>
    <t>dC1jO3rO5</t>
  </si>
  <si>
    <t>oC6mV3kR2</t>
  </si>
  <si>
    <t>bK2kP1xG2</t>
  </si>
  <si>
    <t>eB6iR7mH7</t>
  </si>
  <si>
    <t>iQ6xY7tY3</t>
  </si>
  <si>
    <t>rS5vA2jO5</t>
  </si>
  <si>
    <t>dX6nW2pT0</t>
  </si>
  <si>
    <t>wV5qQ8iM8</t>
  </si>
  <si>
    <t>cT0wX1mS4</t>
  </si>
  <si>
    <t>tI7qH7bI4</t>
  </si>
  <si>
    <t>qE3oS8fP3</t>
  </si>
  <si>
    <t>oK7hY5nJ0</t>
  </si>
  <si>
    <t>lC0yG4tD4</t>
  </si>
  <si>
    <t>pY0jN2uO1</t>
  </si>
  <si>
    <t>iV8jO1yK1</t>
  </si>
  <si>
    <t>wD3mS2xV4</t>
  </si>
  <si>
    <t>rI8pY1lU4</t>
  </si>
  <si>
    <t>jW0cR7fT5</t>
  </si>
  <si>
    <t>rE3pP3fO6</t>
  </si>
  <si>
    <t>hI2mV1kH2</t>
  </si>
  <si>
    <t>tJ7kJ0pV1</t>
  </si>
  <si>
    <t>gN3vS0kY6</t>
  </si>
  <si>
    <t>iA0mN6dM3</t>
  </si>
  <si>
    <t>qP2fE8gK6</t>
  </si>
  <si>
    <t>wL8hG7bV7</t>
  </si>
  <si>
    <t>mY5jQ1mH2</t>
  </si>
  <si>
    <t>uY4dL7dH8</t>
  </si>
  <si>
    <t>uJ4eI7vN1</t>
  </si>
  <si>
    <t>hK8xK2qF1</t>
  </si>
  <si>
    <t>dA8iI2nN5</t>
  </si>
  <si>
    <t>cY4uN0jT0</t>
  </si>
  <si>
    <t>yQ5qG1wH5</t>
  </si>
  <si>
    <t>mX5iE6cX4</t>
  </si>
  <si>
    <t>tJ3xO5aJ1</t>
  </si>
  <si>
    <t>mS6yW8rQ0</t>
  </si>
  <si>
    <t>rI8uR6yF5</t>
  </si>
  <si>
    <t>uK3pX2mY1</t>
  </si>
  <si>
    <t>wS3vJ5uD3</t>
  </si>
  <si>
    <t>qC8fT8uN2</t>
  </si>
  <si>
    <t>pA5oT1eN6</t>
  </si>
  <si>
    <t>kW8jD7aC5</t>
  </si>
  <si>
    <t>yU7fJ4jT0</t>
  </si>
  <si>
    <t>oK4oG4cG8</t>
  </si>
  <si>
    <t>yJ1iM1aT2</t>
  </si>
  <si>
    <t>tF7nL0bP8</t>
  </si>
  <si>
    <t>fO8uP4nN5</t>
  </si>
  <si>
    <t>fH8jE8rD3</t>
  </si>
  <si>
    <t>iA8hC0nM8</t>
  </si>
  <si>
    <t>eR7aG8eB1</t>
  </si>
  <si>
    <t>cD1kB2dJ3</t>
  </si>
  <si>
    <t>lK6dX6rR8</t>
  </si>
  <si>
    <t>qH2kS4mD4</t>
  </si>
  <si>
    <t>sF3kL0kN4</t>
  </si>
  <si>
    <t>wL6vW4nF4</t>
  </si>
  <si>
    <t>eC4nI7mJ8</t>
  </si>
  <si>
    <t>uH0eS4mD2</t>
  </si>
  <si>
    <t>eE1iP1jA7</t>
  </si>
  <si>
    <t>vG7sO1iD6</t>
  </si>
  <si>
    <t>lU2dS8cR4</t>
  </si>
  <si>
    <t>tL3jV3eS7</t>
  </si>
  <si>
    <t>tR7fL4oQ1</t>
  </si>
  <si>
    <t>vU8yM1yY5</t>
  </si>
  <si>
    <t>wD8hX3qB8</t>
  </si>
  <si>
    <t>aN3yE2mT7</t>
  </si>
  <si>
    <t>tV2hY4sT1</t>
  </si>
  <si>
    <t>lL6cS8gU3</t>
  </si>
  <si>
    <t>bS8fT3jA8</t>
  </si>
  <si>
    <t>pW2jR6mD3</t>
  </si>
  <si>
    <t>uC5vJ1kN8</t>
  </si>
  <si>
    <t>xA3wJ0yO2</t>
  </si>
  <si>
    <t>pJ6fY3bV8</t>
  </si>
  <si>
    <t>wY1oP2lW4</t>
  </si>
  <si>
    <t>pN4mI1rO8</t>
  </si>
  <si>
    <t>eR5vE0qH6</t>
  </si>
  <si>
    <t>hH3qL8jO4</t>
  </si>
  <si>
    <t>dQ6bM5lL2</t>
  </si>
  <si>
    <t>gH5oH0eI1</t>
  </si>
  <si>
    <t>rE3mL3pR1</t>
  </si>
  <si>
    <t>hQ4sL4iR4</t>
  </si>
  <si>
    <t>qI7tD2pW4</t>
  </si>
  <si>
    <t>vQ2kU7bV7</t>
  </si>
  <si>
    <t>iC2jJ2fW5</t>
  </si>
  <si>
    <t>iF7bN8sR7</t>
  </si>
  <si>
    <t>uC6tW7yA2</t>
  </si>
  <si>
    <t>qV8qV4dU1</t>
  </si>
  <si>
    <t>eF4bW4aC1</t>
  </si>
  <si>
    <t>gP4mN7fH0</t>
  </si>
  <si>
    <t>jN7cI2bV8</t>
  </si>
  <si>
    <t>lG0lE3sQ6</t>
  </si>
  <si>
    <t>pI8nF4hK6</t>
  </si>
  <si>
    <t>tT8mD8vF7</t>
  </si>
  <si>
    <t>bQ2uH4qF1</t>
  </si>
  <si>
    <t>kV1wQ2fJ3</t>
  </si>
  <si>
    <t>gJ7hA6cC6</t>
  </si>
  <si>
    <t>lV0pO3dG4</t>
  </si>
  <si>
    <t>eA1lY3nQ3</t>
  </si>
  <si>
    <t>dE8mR4yK2</t>
  </si>
  <si>
    <t>sN3dW2cU2</t>
  </si>
  <si>
    <t>fB3mG2rK3</t>
  </si>
  <si>
    <t>lQ5bK1xO1</t>
  </si>
  <si>
    <t>jA8bS1gA2</t>
  </si>
  <si>
    <t>kU0pK8lB8</t>
  </si>
  <si>
    <t>qI4sD8oG5</t>
  </si>
  <si>
    <t>sC1iF8uS6</t>
  </si>
  <si>
    <t>bO4qV4eQ3</t>
  </si>
  <si>
    <t>vE6tO2qJ4</t>
  </si>
  <si>
    <t>hS2bB8yG6</t>
  </si>
  <si>
    <t>sT7cM5eQ7</t>
  </si>
  <si>
    <t>qN2fX3jP1</t>
  </si>
  <si>
    <t>jM5aH4rU4</t>
  </si>
  <si>
    <t>sS3yX6iQ1</t>
  </si>
  <si>
    <t>oA7wU4xX7</t>
  </si>
  <si>
    <t>gN3iT0yE0</t>
  </si>
  <si>
    <t>sE2jK5hW1</t>
  </si>
  <si>
    <t>gH1nR2oU7</t>
  </si>
  <si>
    <t>vW3wJ5jU5</t>
  </si>
  <si>
    <t>uI5cK5nU0</t>
  </si>
  <si>
    <t>tL4iS5wL5</t>
  </si>
  <si>
    <t>dY3oH0wH2</t>
  </si>
  <si>
    <t>wN5dG4kW2</t>
  </si>
  <si>
    <t>yK4oM3gR6</t>
  </si>
  <si>
    <t>nF0yR0aG0</t>
  </si>
  <si>
    <t>xW3vY7uF8</t>
  </si>
  <si>
    <t>pB0eU5vP7</t>
  </si>
  <si>
    <t>vO4yE7qP5</t>
  </si>
  <si>
    <t>bA4qN3yK0</t>
  </si>
  <si>
    <t>wS3yL8tE3</t>
  </si>
  <si>
    <t>cD4sR6lW7</t>
  </si>
  <si>
    <t>mT5jB7gL1</t>
  </si>
  <si>
    <t>iI5nQ1bW7</t>
  </si>
  <si>
    <t>tU1nD7bP1</t>
  </si>
  <si>
    <t>cV8pM1vD0</t>
  </si>
  <si>
    <t>pN0aW3pJ3</t>
  </si>
  <si>
    <t>iG2yO5bU6</t>
  </si>
  <si>
    <t>xV3bO8nV6</t>
  </si>
  <si>
    <t>yD0lY6rE8</t>
  </si>
  <si>
    <t>nB3aA3uP0</t>
  </si>
  <si>
    <t>fB8qD2xE3</t>
  </si>
  <si>
    <t>bP7bM8vO2</t>
  </si>
  <si>
    <t>vJ3bQ2hX8</t>
  </si>
  <si>
    <t>eH1gC2dJ1</t>
  </si>
  <si>
    <t>lK8kB6bO1</t>
  </si>
  <si>
    <t>bW4bO3bY1</t>
  </si>
  <si>
    <t>jR3hT8jL1</t>
  </si>
  <si>
    <t>iQ7eL4hP8</t>
  </si>
  <si>
    <t>aK2mP2wY0</t>
  </si>
  <si>
    <t>qD4fH6pC4</t>
  </si>
  <si>
    <t>jV8aH4yW8</t>
  </si>
  <si>
    <t>jS1pG1vP5</t>
  </si>
  <si>
    <t>rF0rO3oD3</t>
  </si>
  <si>
    <t>dO4vC4kB5</t>
  </si>
  <si>
    <t>cD8oP4eO4</t>
  </si>
  <si>
    <t>nV0dD3uO3</t>
  </si>
  <si>
    <t>xH8nH8aK4</t>
  </si>
  <si>
    <t>aU7nP3qJ3</t>
  </si>
  <si>
    <t>xL0sR4eL3</t>
  </si>
  <si>
    <t>hS3kC1yC1</t>
  </si>
  <si>
    <t>sX5rT3kL5</t>
  </si>
  <si>
    <t>jA6jR0lX0</t>
  </si>
  <si>
    <t>dJ1qS1nI2</t>
  </si>
  <si>
    <t>sQ7cV7pB6</t>
  </si>
  <si>
    <t>wR3uH2wX7</t>
  </si>
  <si>
    <t>yW6dM2uH4</t>
  </si>
  <si>
    <t>eU5gU8iK3</t>
  </si>
  <si>
    <t>jI1lR3fQ4</t>
  </si>
  <si>
    <t>uQ7hS3iN5</t>
  </si>
  <si>
    <t>dQ7wF8tX7</t>
  </si>
  <si>
    <t>vY7wM3wK7</t>
  </si>
  <si>
    <t>bR0aA6oU2</t>
  </si>
  <si>
    <t>pF2lF7xL6</t>
  </si>
  <si>
    <t>qV0uC8iU3</t>
  </si>
  <si>
    <t>oG4wD2uF8</t>
  </si>
  <si>
    <t>kC6mF0gP0</t>
  </si>
  <si>
    <t>uQ0qQ1vS7</t>
  </si>
  <si>
    <t>tV1oM3lC4</t>
  </si>
  <si>
    <t>vF6kS3fF4</t>
  </si>
  <si>
    <t>jR4rD0nC2</t>
  </si>
  <si>
    <t>cX6oO5vM6</t>
  </si>
  <si>
    <t>sX5oM8wB1</t>
  </si>
  <si>
    <t>nO6iU1mL4</t>
  </si>
  <si>
    <t>vF4sA4qA2</t>
  </si>
  <si>
    <t>pU0eO8lB0</t>
  </si>
  <si>
    <t>mM2rP7wD0</t>
  </si>
  <si>
    <t>lJ8fP4mY7</t>
  </si>
  <si>
    <t>cN1qT5hO1</t>
  </si>
  <si>
    <t>vW5sA6cE6</t>
  </si>
  <si>
    <t>rU8uW5nM8</t>
  </si>
  <si>
    <t>sN4aV1cT1</t>
  </si>
  <si>
    <t>fH8uC4xN0</t>
  </si>
  <si>
    <t>fC6bQ1cR7</t>
  </si>
  <si>
    <t>vR7tV1dP7</t>
  </si>
  <si>
    <t>vY8eA1wY3</t>
  </si>
  <si>
    <t>aY6yB1cJ4</t>
  </si>
  <si>
    <t>cJ7hQ6bE4</t>
  </si>
  <si>
    <t>mD2hN7nH2</t>
  </si>
  <si>
    <t>aX1uX8nW4</t>
  </si>
  <si>
    <t>lC3nN1hK5</t>
  </si>
  <si>
    <t>jV4kV4jM6</t>
  </si>
  <si>
    <t>bP5sR8aS6</t>
  </si>
  <si>
    <t>lA1wO7sT8</t>
  </si>
  <si>
    <t>uE0fA0pP2</t>
  </si>
  <si>
    <t>iJ5tO7wR7</t>
  </si>
  <si>
    <t>hU4uT5uQ5</t>
  </si>
  <si>
    <t>hC4yS4tA1</t>
  </si>
  <si>
    <t>oP0iL0bJ4</t>
  </si>
  <si>
    <t>uQ0fG5tH7</t>
  </si>
  <si>
    <t>bD6yS0aJ5</t>
  </si>
  <si>
    <t>tD7dN8xB1</t>
  </si>
  <si>
    <t>gD1eB7hM8</t>
  </si>
  <si>
    <t>yK3mC7cM3</t>
  </si>
  <si>
    <t>wE7tA7gC3</t>
  </si>
  <si>
    <t>oF3lT4fI7</t>
  </si>
  <si>
    <t>hQ7dI7dU1</t>
  </si>
  <si>
    <t>iM7xM6xT2</t>
  </si>
  <si>
    <t>nR0pX0mL6</t>
  </si>
  <si>
    <t>bW5iK8nR2</t>
  </si>
  <si>
    <t>dK3fR2iQ4</t>
  </si>
  <si>
    <t>jE6lS6xP2</t>
  </si>
  <si>
    <t>gS7hV4vX7</t>
  </si>
  <si>
    <t>pK8kL2fC0</t>
  </si>
  <si>
    <t>mR6xG5aO5</t>
  </si>
  <si>
    <t>jF2vM4lT0</t>
  </si>
  <si>
    <t>uA1qM2rB1</t>
  </si>
  <si>
    <t>hH0mD8oR7</t>
  </si>
  <si>
    <t>mQ2tP2bY7</t>
  </si>
  <si>
    <t>nD5lD2gT3</t>
  </si>
  <si>
    <t>tQ2lQ5sB6</t>
  </si>
  <si>
    <t>xD8oJ4lE8</t>
  </si>
  <si>
    <t>qR0kS5qN6</t>
  </si>
  <si>
    <t>nH2rC0xO7</t>
  </si>
  <si>
    <t>oD3kX8lB8</t>
  </si>
  <si>
    <t>rP7nG3bD2</t>
  </si>
  <si>
    <t>vL2wX2rY2</t>
  </si>
  <si>
    <t>tQ7jR0rD7</t>
  </si>
  <si>
    <t>rT6tJ0nJ8</t>
  </si>
  <si>
    <t>iM6xF0kU1</t>
  </si>
  <si>
    <t>uG0gY0wF0</t>
  </si>
  <si>
    <t>sM2xH4jE6</t>
  </si>
  <si>
    <t>lB2uJ5rW5</t>
  </si>
  <si>
    <t>vJ3gL8qF5</t>
  </si>
  <si>
    <t>hD0wD6rG2</t>
  </si>
  <si>
    <t>sC7pV1iU7</t>
  </si>
  <si>
    <t>fF3cX4aN5</t>
  </si>
  <si>
    <t>wE0yR2lE3</t>
  </si>
  <si>
    <t>uF3pM1hA5</t>
  </si>
  <si>
    <t>pM2qP6cQ4</t>
  </si>
  <si>
    <t>qY2fP0iP8</t>
  </si>
  <si>
    <t>bK2nV8nE4</t>
  </si>
  <si>
    <t>aP6oF5cU4</t>
  </si>
  <si>
    <t>qB0vL5cH4</t>
  </si>
  <si>
    <t>hB4gF1lX3</t>
  </si>
  <si>
    <t>xR8uM3pM1</t>
  </si>
  <si>
    <t>yV3mH0eC1</t>
  </si>
  <si>
    <t>wA2eC4aA5</t>
  </si>
  <si>
    <t>fM4bK6bW2</t>
  </si>
  <si>
    <t>pS1aX3qY7</t>
  </si>
  <si>
    <t>hY8rO2xB4</t>
  </si>
  <si>
    <t>sO6vB6oP5</t>
  </si>
  <si>
    <t>wY7nX1jJ0</t>
  </si>
  <si>
    <t>lG2xP5vG5</t>
  </si>
  <si>
    <t>gD8aE4aR1</t>
  </si>
  <si>
    <t>nL0qT2jO0</t>
  </si>
  <si>
    <t>iB1jB4bN8</t>
  </si>
  <si>
    <t>lL7hV7xQ4</t>
  </si>
  <si>
    <t>mJ0yP1mM5</t>
  </si>
  <si>
    <t>vY3qQ4pY2</t>
  </si>
  <si>
    <t>pX1eR6hP2</t>
  </si>
  <si>
    <t>aE0lF5eX5</t>
  </si>
  <si>
    <t>eO6oC1kX5</t>
  </si>
  <si>
    <t>mJ2gE2hA1</t>
  </si>
  <si>
    <t>eB6bI2hO0</t>
  </si>
  <si>
    <t>gB6dL1eD5</t>
  </si>
  <si>
    <t>yH6dJ8wE5</t>
  </si>
  <si>
    <t>hS4sK7vV2</t>
  </si>
  <si>
    <t>vF5uD2pU0</t>
  </si>
  <si>
    <t>tV1tA2mR8</t>
  </si>
  <si>
    <t>lF7qR4gC8</t>
  </si>
  <si>
    <t>oQ2oT6dH7</t>
  </si>
  <si>
    <t>mC5nB4oR7</t>
  </si>
  <si>
    <t>bU1vW4iM1</t>
  </si>
  <si>
    <t>lJ2aD1vV7</t>
  </si>
  <si>
    <t>nT1hL7gO7</t>
  </si>
  <si>
    <t>lJ3dW5iX1</t>
  </si>
  <si>
    <t>kX7eN3vW6</t>
  </si>
  <si>
    <t>fW0uD8qB2</t>
  </si>
  <si>
    <t>fF3oK2aO0</t>
  </si>
  <si>
    <t>gH5sJ5hI8</t>
  </si>
  <si>
    <t>iK6qB2hB6</t>
  </si>
  <si>
    <t>pH7iG7oP6</t>
  </si>
  <si>
    <t>yM7pO6dR2</t>
  </si>
  <si>
    <t>oK7wU3rT6</t>
  </si>
  <si>
    <t>rL1eU1eR1</t>
  </si>
  <si>
    <t>vB8mA4tB4</t>
  </si>
  <si>
    <t>fX1hW7gK4</t>
  </si>
  <si>
    <t>cK3nW7dV5</t>
  </si>
  <si>
    <t>hT5nR7dV3</t>
  </si>
  <si>
    <t>kK7hF6lF4</t>
  </si>
  <si>
    <t>yY4bP0cJ8</t>
  </si>
  <si>
    <t>cU6oO0iO7</t>
  </si>
  <si>
    <t>mP8eC4oD7</t>
  </si>
  <si>
    <t>yF6bJ5sK2</t>
  </si>
  <si>
    <t>gN4kH5hV6</t>
  </si>
  <si>
    <t>wU8rO2dN8</t>
  </si>
  <si>
    <t>rJ8hX5tE6</t>
  </si>
  <si>
    <t>fU8hG6fQ3</t>
  </si>
  <si>
    <t>uU2vI1jI8</t>
  </si>
  <si>
    <t>eU0qG0yD0</t>
  </si>
  <si>
    <t>oD5rN8mL6</t>
  </si>
  <si>
    <t>cP1tR6uC6</t>
  </si>
  <si>
    <t>fF4iE4rF2</t>
  </si>
  <si>
    <t>jC5fM2oY2</t>
  </si>
  <si>
    <t>rS1gN0cW6</t>
  </si>
  <si>
    <t>aK7cE2bU8</t>
  </si>
  <si>
    <t>xC8lX2jU0</t>
  </si>
  <si>
    <t>cV8xQ7gK5</t>
  </si>
  <si>
    <t>hE6xR5iR2</t>
  </si>
  <si>
    <t>oH5gW4vE4</t>
  </si>
  <si>
    <t>wX6iK2jP1</t>
  </si>
  <si>
    <t>sL5wA7mO8</t>
  </si>
  <si>
    <t>yM4aD1hN8</t>
  </si>
  <si>
    <t>sL0rV1xY7</t>
  </si>
  <si>
    <t>wP6dN2sK4</t>
  </si>
  <si>
    <t>tW3rP1pU4</t>
  </si>
  <si>
    <t>gR4bP6wI1</t>
  </si>
  <si>
    <t>pL1iG5fR2</t>
  </si>
  <si>
    <t>jV5cM3hB1</t>
  </si>
  <si>
    <t>kT3iS2vH0</t>
  </si>
  <si>
    <t>wX6iH3iG2</t>
  </si>
  <si>
    <t>xF1fP2mS3</t>
  </si>
  <si>
    <t>rW2sA7fL6</t>
  </si>
  <si>
    <t>wS5dI6lK8</t>
  </si>
  <si>
    <t>gB8cX3oY5</t>
  </si>
  <si>
    <t>qF2hH8pW6</t>
  </si>
  <si>
    <t>oD8xT5sH7</t>
  </si>
  <si>
    <t>rU7sX6xD0</t>
  </si>
  <si>
    <t>lS1rO2dX4</t>
  </si>
  <si>
    <t>jT1gF0mX1</t>
  </si>
  <si>
    <t>qP2uH6fL6</t>
  </si>
  <si>
    <t>cM6cO7oC4</t>
  </si>
  <si>
    <t>cI5dQ2gI3</t>
  </si>
  <si>
    <t>hK1lO0aQ7</t>
  </si>
  <si>
    <t>lN4dY2iB3</t>
  </si>
  <si>
    <t>iW6yM0uA2</t>
  </si>
  <si>
    <t>vP4mU6dC1</t>
  </si>
  <si>
    <t>sU8kJ3iX2</t>
  </si>
  <si>
    <t>kG4vG1wK8</t>
  </si>
  <si>
    <t>iD6oJ1aH4</t>
  </si>
  <si>
    <t>rU4uI1sL7</t>
  </si>
  <si>
    <t>dW0aH2vE1</t>
  </si>
  <si>
    <t>sM4mX4eE3</t>
  </si>
  <si>
    <t>fL7eW8bX3</t>
  </si>
  <si>
    <t>eX1dF3tW2</t>
  </si>
  <si>
    <t>rC6wA6mI4</t>
  </si>
  <si>
    <t>sX4yB2oQ5</t>
  </si>
  <si>
    <t>eM4qS6kT5</t>
  </si>
  <si>
    <t>rO1sI8xT8</t>
  </si>
  <si>
    <t>cH5rE2xI4</t>
  </si>
  <si>
    <t>vJ4qQ7oO1</t>
  </si>
  <si>
    <t>pL0mX1tU3</t>
  </si>
  <si>
    <t>fI7xH8uK8</t>
  </si>
  <si>
    <t>sE8jJ6kN4</t>
  </si>
  <si>
    <t>pR3aX7cN0</t>
  </si>
  <si>
    <t>aS0hW3oM2</t>
  </si>
  <si>
    <t>cK0hI0pQ4</t>
  </si>
  <si>
    <t>aC2eH8kI4</t>
  </si>
  <si>
    <t>mF3vO5iU3</t>
  </si>
  <si>
    <t>tE6qV3mD6</t>
  </si>
  <si>
    <t>oF5eX1fN0</t>
  </si>
  <si>
    <t>iO7jR4xM8</t>
  </si>
  <si>
    <t>wT7nW6bF4</t>
  </si>
  <si>
    <t>pK6mA5bS3</t>
  </si>
  <si>
    <t>aP7nT2mO7</t>
  </si>
  <si>
    <t>aY6sB7eD2</t>
  </si>
  <si>
    <t>jW6aG8lB1</t>
  </si>
  <si>
    <t>yH8xC3yJ0</t>
  </si>
  <si>
    <t>tX1lM2cY2</t>
  </si>
  <si>
    <t>gT7sS6lE1</t>
  </si>
  <si>
    <t>vV0mI2xS3</t>
  </si>
  <si>
    <t>bU8qO1uK1</t>
  </si>
  <si>
    <t>cK3mC4qX6</t>
  </si>
  <si>
    <t>cW0xN6hJ5</t>
  </si>
  <si>
    <t>dX0nJ4kS1</t>
  </si>
  <si>
    <t>lN3pX2xV6</t>
  </si>
  <si>
    <t>cO8dH4rK3</t>
  </si>
  <si>
    <t>dI0mS4aI7</t>
  </si>
  <si>
    <t>xC1vE3dL2</t>
  </si>
  <si>
    <t>tA3wS0qC4</t>
  </si>
  <si>
    <t>uM5gL3wG3</t>
  </si>
  <si>
    <t>jD8uW4pN2</t>
  </si>
  <si>
    <t>yC4lC1vJ5</t>
  </si>
  <si>
    <t>sS7nP5kT4</t>
  </si>
  <si>
    <t>kE8aD1pS0</t>
  </si>
  <si>
    <t>fA6hI1lI1</t>
  </si>
  <si>
    <t>tG0yK1pJ8</t>
  </si>
  <si>
    <t>oM1sA5lV7</t>
  </si>
  <si>
    <t>mP1xG4eI3</t>
  </si>
  <si>
    <t>lM0pO2vL0</t>
  </si>
  <si>
    <t>kJ4gO0gP1</t>
  </si>
  <si>
    <t>yO5hQ3wI1</t>
  </si>
  <si>
    <t>kB1kM0pL7</t>
  </si>
  <si>
    <t>kN6nG0rL0</t>
  </si>
  <si>
    <t>hT3bQ0jL6</t>
  </si>
  <si>
    <t>gQ6xR0tC7</t>
  </si>
  <si>
    <t>rD7pG3aB2</t>
  </si>
  <si>
    <t>qW7oM5aJ7</t>
  </si>
  <si>
    <t>rN2iX7eD7</t>
  </si>
  <si>
    <t>fD3kW8xY7</t>
  </si>
  <si>
    <t>dC0yX5aQ4</t>
  </si>
  <si>
    <t>uX3iY4xG3</t>
  </si>
  <si>
    <t>rD4kR1dU1</t>
  </si>
  <si>
    <t>dH8rJ8yX0</t>
  </si>
  <si>
    <t>iL4qW7iI3</t>
  </si>
  <si>
    <t>cY2pH7oD0</t>
  </si>
  <si>
    <t>vU4lQ2uC1</t>
  </si>
  <si>
    <t>jW8rS0fQ6</t>
  </si>
  <si>
    <t>hG5uH3oE4</t>
  </si>
  <si>
    <t>iD5pP4fU1</t>
  </si>
  <si>
    <t>cR0tU6tD6</t>
  </si>
  <si>
    <t>xQ0lD1nF4</t>
  </si>
  <si>
    <t>fI0wI6rE0</t>
  </si>
  <si>
    <t>nW5rD1bY5</t>
  </si>
  <si>
    <t>kV3yL6yG3</t>
  </si>
  <si>
    <t>eX0tH6sA6</t>
  </si>
  <si>
    <t>cN4uG5cM7</t>
  </si>
  <si>
    <t>oX8jN0bK3</t>
  </si>
  <si>
    <t>eP2pL1gE0</t>
  </si>
  <si>
    <t>iK8wP7sK1</t>
  </si>
  <si>
    <t>rP3vN2cW5</t>
  </si>
  <si>
    <t>rH5yL5eK5</t>
  </si>
  <si>
    <t>rE5fW7hU4</t>
  </si>
  <si>
    <t>wE0rT1pI3</t>
  </si>
  <si>
    <t>jH8kM6wJ8</t>
  </si>
  <si>
    <t>sP0kO1sQ0</t>
  </si>
  <si>
    <t>bS2oO8jH5</t>
  </si>
  <si>
    <t>cC4hX6yC4</t>
  </si>
  <si>
    <t>kR3gN0tE4</t>
  </si>
  <si>
    <t>jW7fI5xU1</t>
  </si>
  <si>
    <t>oA1cO2oB8</t>
  </si>
  <si>
    <t>aK5iH3eI2</t>
  </si>
  <si>
    <t>cV2aW0tS5</t>
  </si>
  <si>
    <t>xR5dN3vO7</t>
  </si>
  <si>
    <t>qC4yF5bF7</t>
  </si>
  <si>
    <t>jQ4hV1jA6</t>
  </si>
  <si>
    <t>yD7nC1nR3</t>
  </si>
  <si>
    <t>iJ3tB8vQ8</t>
  </si>
  <si>
    <t>mD0mM6xC5</t>
  </si>
  <si>
    <t>gN1dW4tI3</t>
  </si>
  <si>
    <t>sP6nX1uK4</t>
  </si>
  <si>
    <t>nS3lO1bR1</t>
  </si>
  <si>
    <t>kO0hC5aU2</t>
  </si>
  <si>
    <t>vG3eW7dL8</t>
  </si>
  <si>
    <t>eV8uD1nC4</t>
  </si>
  <si>
    <t>cX0rP4jL1</t>
  </si>
  <si>
    <t>pS0cC4yG6</t>
  </si>
  <si>
    <t>aI6iA8jU2</t>
  </si>
  <si>
    <t>kL6iS1cT1</t>
  </si>
  <si>
    <t>aM8oC8bP7</t>
  </si>
  <si>
    <t>jB0rB3xE7</t>
  </si>
  <si>
    <t>bW1lS3qO2</t>
  </si>
  <si>
    <t>jL3lR3yD4</t>
  </si>
  <si>
    <t>sM0eI6xD4</t>
  </si>
  <si>
    <t>rD7lF6nL2</t>
  </si>
  <si>
    <t>dL5xK7iR2</t>
  </si>
  <si>
    <t>jU2oG8vY7</t>
  </si>
  <si>
    <t>pY1vU0gQ0</t>
  </si>
  <si>
    <t>qC3nN0lH1</t>
  </si>
  <si>
    <t>vP0vE3nD8</t>
  </si>
  <si>
    <t>sV7bD6oR8</t>
  </si>
  <si>
    <t>oL4mB3kT8</t>
  </si>
  <si>
    <t>sU7tI5vL5</t>
  </si>
  <si>
    <t>yK1jB8aI8</t>
  </si>
  <si>
    <t>rO8oM7pB6</t>
  </si>
  <si>
    <t>aI4aK3vJ3</t>
  </si>
  <si>
    <t>gO0bY5oR3</t>
  </si>
  <si>
    <t>vT3aR2uL2</t>
  </si>
  <si>
    <t>eS1oF1iM3</t>
  </si>
  <si>
    <t>jE7cV1uX5</t>
  </si>
  <si>
    <t>yJ5oW7jQ1</t>
  </si>
  <si>
    <t>xX6xN3dS6</t>
  </si>
  <si>
    <t>jA6jY5cN3</t>
  </si>
  <si>
    <t>iC1oX4fL4</t>
  </si>
  <si>
    <t>iK1rO5mO6</t>
  </si>
  <si>
    <t>sE3qP7mQ8</t>
  </si>
  <si>
    <t>qW0qR7aP4</t>
  </si>
  <si>
    <t>jC6wJ7tG4</t>
  </si>
  <si>
    <t>iF2cK7vV6</t>
  </si>
  <si>
    <t>dQ8tE6sJ6</t>
  </si>
  <si>
    <t>xP4bL1dI8</t>
  </si>
  <si>
    <t>mO1yP7nA7</t>
  </si>
  <si>
    <t>vW3pP2yN5</t>
  </si>
  <si>
    <t>hS5cG7fA3</t>
  </si>
  <si>
    <t>wF0iQ1hU1</t>
  </si>
  <si>
    <t>mR0gF1rV6</t>
  </si>
  <si>
    <t>hQ8jM5pL3</t>
  </si>
  <si>
    <t>eD8kI8tA3</t>
  </si>
  <si>
    <t>eO1iY0vS7</t>
  </si>
  <si>
    <t>fJ6dP5nJ2</t>
  </si>
  <si>
    <t>sY8vY3bL0</t>
  </si>
  <si>
    <t>kI8cM6iK8</t>
  </si>
  <si>
    <t>xU0yC5sU2</t>
  </si>
  <si>
    <t>qT0dY0uK2</t>
  </si>
  <si>
    <t>oA6fU1oL1</t>
  </si>
  <si>
    <t>fH7mN7pJ7</t>
  </si>
  <si>
    <t>cR6iU3lL1</t>
  </si>
  <si>
    <t>kM2nB5kJ0</t>
  </si>
  <si>
    <t>sY3mB0uE5</t>
  </si>
  <si>
    <t>pQ5qQ5dH5</t>
  </si>
  <si>
    <t>kY5nD5oK7</t>
  </si>
  <si>
    <t>sF1qC1tN7</t>
  </si>
  <si>
    <t>iS0qF8kM0</t>
  </si>
  <si>
    <t>pE4wQ4dV5</t>
  </si>
  <si>
    <t>sA1dY4jK5</t>
  </si>
  <si>
    <t>oY0xO3hE0</t>
  </si>
  <si>
    <t>kB0jC1bI6</t>
  </si>
  <si>
    <t>sA8lI5dH5</t>
  </si>
  <si>
    <t>mS2iR0pU1</t>
  </si>
  <si>
    <t>eK4eR4fJ5</t>
  </si>
  <si>
    <t>qI6fV7kJ6</t>
  </si>
  <si>
    <t>sY5wT4iM4</t>
  </si>
  <si>
    <t>wK3xN0dL7</t>
  </si>
  <si>
    <t>fJ8tV2pB6</t>
  </si>
  <si>
    <t>iL7hL0cJ4</t>
  </si>
  <si>
    <t>tS8iI6gK7</t>
  </si>
  <si>
    <t>pY3xJ4cX5</t>
  </si>
  <si>
    <t>uX1qR0hH6</t>
  </si>
  <si>
    <t>nX7bE4kV5</t>
  </si>
  <si>
    <t>fB1fI2nT1</t>
  </si>
  <si>
    <t>xO3mA1aR8</t>
  </si>
  <si>
    <t>vI0fU6mR5</t>
  </si>
  <si>
    <t>eW1lN5eJ7</t>
  </si>
  <si>
    <t>dL3lW8pQ6</t>
  </si>
  <si>
    <t>yP7sN0yM1</t>
  </si>
  <si>
    <t>gF5wV8xG5</t>
  </si>
  <si>
    <t>hV1gG8iT0</t>
  </si>
  <si>
    <t>nU6eT8oJ6</t>
  </si>
  <si>
    <t>nN0iN7rW4</t>
  </si>
  <si>
    <t>aJ2oP5qN5</t>
  </si>
  <si>
    <t>wT2qD7oD1</t>
  </si>
  <si>
    <t>nN3cT7gS5</t>
  </si>
  <si>
    <t>qF5yN6tB0</t>
  </si>
  <si>
    <t>rI5yG5xA7</t>
  </si>
  <si>
    <t>cI6jY0uV5</t>
  </si>
  <si>
    <t>pE4dJ3uJ5</t>
  </si>
  <si>
    <t>xE4cN2rJ3</t>
  </si>
  <si>
    <t>xL2mW4cW5</t>
  </si>
  <si>
    <t>oN8eF3hJ2</t>
  </si>
  <si>
    <t>qF4tN4eL2</t>
  </si>
  <si>
    <t>sS0jR8gP7</t>
  </si>
  <si>
    <t>wW4tP0hX2</t>
  </si>
  <si>
    <t>xG2sY0cQ6</t>
  </si>
  <si>
    <t>jG8hU6uI7</t>
  </si>
  <si>
    <t>xM7nS5lC2</t>
  </si>
  <si>
    <t>cD6fG3tB0</t>
  </si>
  <si>
    <t>iF8qN4lE5</t>
  </si>
  <si>
    <t>oE1pY3sT8</t>
  </si>
  <si>
    <t>rP3bF1aW7</t>
  </si>
  <si>
    <t>xR8tO2eD3</t>
  </si>
  <si>
    <t>kD2xI3cK2</t>
  </si>
  <si>
    <t>iQ8lP2aS8</t>
  </si>
  <si>
    <t>aA2gS7eG7</t>
  </si>
  <si>
    <t>nA1fJ3eF0</t>
  </si>
  <si>
    <t>iY6rH0gV1</t>
  </si>
  <si>
    <t>qU8gS3iC5</t>
  </si>
  <si>
    <t>rK8qD1eI1</t>
  </si>
  <si>
    <t>gL6dN0kT2</t>
  </si>
  <si>
    <t>fB0cR7tV6</t>
  </si>
  <si>
    <t>wM0cW4hT2</t>
  </si>
  <si>
    <t>bO8sG1jO0</t>
  </si>
  <si>
    <t>jA3cE1qU1</t>
  </si>
  <si>
    <t>jP0fF4pJ4</t>
  </si>
  <si>
    <t>oC2vB5dN0</t>
  </si>
  <si>
    <t>wJ6hF3hA3</t>
  </si>
  <si>
    <t>dD1xQ5uE6</t>
  </si>
  <si>
    <t>hE5yQ2kO7</t>
  </si>
  <si>
    <t>bN2bS1qG5</t>
  </si>
  <si>
    <t>xH7lR3uT7</t>
  </si>
  <si>
    <t>lS0pW7xN4</t>
  </si>
  <si>
    <t>gD4kB2aX4</t>
  </si>
  <si>
    <t>oN8rA7pB2</t>
  </si>
  <si>
    <t>tN0nR4mW8</t>
  </si>
  <si>
    <t>xG2dI6gX1</t>
  </si>
  <si>
    <t>vH2gQ4sQ5</t>
  </si>
  <si>
    <t>nY8yJ5qI4</t>
  </si>
  <si>
    <t>vU3tF2sF2</t>
  </si>
  <si>
    <t>gA5yB2eF5</t>
  </si>
  <si>
    <t>pP1hU7lF8</t>
  </si>
  <si>
    <t>dA5iI3sN1</t>
  </si>
  <si>
    <t>bH8kE3vY3</t>
  </si>
  <si>
    <t>vC7dU5xC0</t>
  </si>
  <si>
    <t>jI3xM2sR5</t>
  </si>
  <si>
    <t>jO5sY3uN1</t>
  </si>
  <si>
    <t>iX3lA4eL0</t>
  </si>
  <si>
    <t>sE4rO7cG3</t>
  </si>
  <si>
    <t>tI7kL4qD5</t>
  </si>
  <si>
    <t>wV1vU1mK3</t>
  </si>
  <si>
    <t>hD2wC6bL1</t>
  </si>
  <si>
    <t>tC0bL3nR0</t>
  </si>
  <si>
    <t>uM5eI3pT1</t>
  </si>
  <si>
    <t>uA1hG8jC6</t>
  </si>
  <si>
    <t>wN0pF5uC5</t>
  </si>
  <si>
    <t>yP2aW0fG8</t>
  </si>
  <si>
    <t>pE7xV2xI6</t>
  </si>
  <si>
    <t>cD6lB0uO7</t>
  </si>
  <si>
    <t>vD5tG1fO0</t>
  </si>
  <si>
    <t>bU5xR1hU4</t>
  </si>
  <si>
    <t>pV6wJ0iB1</t>
  </si>
  <si>
    <t>pT0sV6vC3</t>
  </si>
  <si>
    <t>bH4gH8oX6</t>
  </si>
  <si>
    <t>bG0uD2aV0</t>
  </si>
  <si>
    <t>qX2vH5yN1</t>
  </si>
  <si>
    <t>tU6cC1aR0</t>
  </si>
  <si>
    <t>nD7xX2jC5</t>
  </si>
  <si>
    <t>hC0tM3xF1</t>
  </si>
  <si>
    <t>dL4dD0yX1</t>
  </si>
  <si>
    <t>kG3kG1nT2</t>
  </si>
  <si>
    <t>lL7lT8rR5</t>
  </si>
  <si>
    <t>qH7nB6jK7</t>
  </si>
  <si>
    <t>nJ6sV6mR0</t>
  </si>
  <si>
    <t>aF0gR8uP0</t>
  </si>
  <si>
    <t>nY2qL0jD6</t>
  </si>
  <si>
    <t>cB5yR8hA3</t>
  </si>
  <si>
    <t>bF8kK6bC5</t>
  </si>
  <si>
    <t>lO7dB2fP4</t>
  </si>
  <si>
    <t>iC0aJ3tJ5</t>
  </si>
  <si>
    <t>xJ0xH5aH7</t>
  </si>
  <si>
    <t>qT5wB2lP2</t>
  </si>
  <si>
    <t>dC3aI6cF4</t>
  </si>
  <si>
    <t>gO3xM1rR2</t>
  </si>
  <si>
    <t>pI1dG6rX6</t>
  </si>
  <si>
    <t>mP0cB5rJ1</t>
  </si>
  <si>
    <t>hG2rI8mT6</t>
  </si>
  <si>
    <t>aX3oF1xQ3</t>
  </si>
  <si>
    <t>tH7gA6nV7</t>
  </si>
  <si>
    <t>xF3dP0nQ2</t>
  </si>
  <si>
    <t>iO2fO6bX4</t>
  </si>
  <si>
    <t>oO5fM4tX2</t>
  </si>
  <si>
    <t>qG8bJ1yK6</t>
  </si>
  <si>
    <t>wG4lM2gL0</t>
  </si>
  <si>
    <t>dI6yE5sN6</t>
  </si>
  <si>
    <t>fB1lC8gG4</t>
  </si>
  <si>
    <t>kT4xG5cV5</t>
  </si>
  <si>
    <t>wF3fA2cN0</t>
  </si>
  <si>
    <t>qE0dS1bT7</t>
  </si>
  <si>
    <t>nT5iU3dK4</t>
  </si>
  <si>
    <t>gR6mQ6sR7</t>
  </si>
  <si>
    <t>gE0xH8lR6</t>
  </si>
  <si>
    <t>kK8jO7vI1</t>
  </si>
  <si>
    <t>cU7hX8iH5</t>
  </si>
  <si>
    <t>qV0gA6jM3</t>
  </si>
  <si>
    <t>gN0uV4pB2</t>
  </si>
  <si>
    <t>nG4mN3bT3</t>
  </si>
  <si>
    <t>iG0hJ2hB5</t>
  </si>
  <si>
    <t>mY5hA0sG4</t>
  </si>
  <si>
    <t>aU4yV2gY6</t>
  </si>
  <si>
    <t>wS4yP5wH6</t>
  </si>
  <si>
    <t>sR7wS8pB4</t>
  </si>
  <si>
    <t>tW5nW7cY4</t>
  </si>
  <si>
    <t>iG7nQ7gO5</t>
  </si>
  <si>
    <t>rT3pA4lT0</t>
  </si>
  <si>
    <t>bW8iH5cE8</t>
  </si>
  <si>
    <t>eV1yJ0kU4</t>
  </si>
  <si>
    <t>wO8qD3bT3</t>
  </si>
  <si>
    <t>oV8sL2iR2</t>
  </si>
  <si>
    <t>kX0pT2rO5</t>
  </si>
  <si>
    <t>qX1gN8tT7</t>
  </si>
  <si>
    <t>fD5gB7pK1</t>
  </si>
  <si>
    <t>lX3rU1qU2</t>
  </si>
  <si>
    <t>xH5dD5mM3</t>
  </si>
  <si>
    <t>tN2eK3dK8</t>
  </si>
  <si>
    <t>eE6pY4sC2</t>
  </si>
  <si>
    <t>rC8bA3oS1</t>
  </si>
  <si>
    <t>vK5uQ8qX5</t>
  </si>
  <si>
    <t>qG8tQ5sW7</t>
  </si>
  <si>
    <t>iS7mJ6uT6</t>
  </si>
  <si>
    <t>iJ7hE6tY3</t>
  </si>
  <si>
    <t>hV0tP4dD8</t>
  </si>
  <si>
    <t>oI0sN0pS5</t>
  </si>
  <si>
    <t>uK1aA4dY8</t>
  </si>
  <si>
    <t>sE3fX7qL6</t>
  </si>
  <si>
    <t>fV5bW1xS4</t>
  </si>
  <si>
    <t>nT0lR7qF7</t>
  </si>
  <si>
    <t>kN0cM4dX4</t>
  </si>
  <si>
    <t>nS1kQ1tH4</t>
  </si>
  <si>
    <t>nY7wL7xQ6</t>
  </si>
  <si>
    <t>pP2aF6gN2</t>
  </si>
  <si>
    <t>bC8iN5kY0</t>
  </si>
  <si>
    <t>xB0jA3uT6</t>
  </si>
  <si>
    <t>rX8jR2fJ0</t>
  </si>
  <si>
    <t>qJ6yX5jM4</t>
  </si>
  <si>
    <t>sA3xA4lF5</t>
  </si>
  <si>
    <t>sB6oU8vF3</t>
  </si>
  <si>
    <t>aY2nQ8uN2</t>
  </si>
  <si>
    <t>yL7mK1yD0</t>
  </si>
  <si>
    <t>fW6eX0iC7</t>
  </si>
  <si>
    <t>dL6xO4kN0</t>
  </si>
  <si>
    <t>gV0rE5aB6</t>
  </si>
  <si>
    <t>cB5mO0wF1</t>
  </si>
  <si>
    <t>mW7xG4cP3</t>
  </si>
  <si>
    <t>nC6iQ6vB6</t>
  </si>
  <si>
    <t>aI8nQ1oI5</t>
  </si>
  <si>
    <t>xD1pR7jY1</t>
  </si>
  <si>
    <t>yY4uY1aY0</t>
  </si>
  <si>
    <t>pT1dX8hU2</t>
  </si>
  <si>
    <t>nP0hO3wT7</t>
  </si>
  <si>
    <t>eN6qD8nM5</t>
  </si>
  <si>
    <t>mG5sN1eK4</t>
  </si>
  <si>
    <t>uY2jG3eB5</t>
  </si>
  <si>
    <t>uA3jU5yD3</t>
  </si>
  <si>
    <t>pW0iM5kA0</t>
  </si>
  <si>
    <t>jB1oP1yU1</t>
  </si>
  <si>
    <t>fA6hD2sU6</t>
  </si>
  <si>
    <t>jK4bM8xP1</t>
  </si>
  <si>
    <t>aG6yC2yN3</t>
  </si>
  <si>
    <t>bU5eN7lT7</t>
  </si>
  <si>
    <t>iR4yY8kQ1</t>
  </si>
  <si>
    <t>iL0kQ2lV0</t>
  </si>
  <si>
    <t>bA2cG4nI8</t>
  </si>
  <si>
    <t>lS6rJ7mN6</t>
  </si>
  <si>
    <t>lC7kY7yU5</t>
  </si>
  <si>
    <t>yW5kC7qL1</t>
  </si>
  <si>
    <t>sU5oQ1oA3</t>
  </si>
  <si>
    <t>mD3hG3bQ6</t>
  </si>
  <si>
    <t>yO7fE3sX5</t>
  </si>
  <si>
    <t>sX3vK8eL0</t>
  </si>
  <si>
    <t>eA1yV4nE1</t>
  </si>
  <si>
    <t>aC8yE2eI2</t>
  </si>
  <si>
    <t>iT5eA6wK2</t>
  </si>
  <si>
    <t>lH0iO2fJ1</t>
  </si>
  <si>
    <t>xT8xB1iW5</t>
  </si>
  <si>
    <t>iH4mX5sT0</t>
  </si>
  <si>
    <t>uB1vA0xK4</t>
  </si>
  <si>
    <t>aX0nX1yW4</t>
  </si>
  <si>
    <t>dC6kM6tC0</t>
  </si>
  <si>
    <t>gB1nO5vO4</t>
  </si>
  <si>
    <t>gG1iR5xK4</t>
  </si>
  <si>
    <t>cB8mP8kX4</t>
  </si>
  <si>
    <t>qF0yG0bM5</t>
  </si>
  <si>
    <t>jA2fQ8vL7</t>
  </si>
  <si>
    <t>aW6eM6oN5</t>
  </si>
  <si>
    <t>jX1cG5jX1</t>
  </si>
  <si>
    <t>xV3tF2kE1</t>
  </si>
  <si>
    <t>pD3nT3lG1</t>
  </si>
  <si>
    <t>kY6pH7mA0</t>
  </si>
  <si>
    <t>jK6sJ8dJ1</t>
  </si>
  <si>
    <t>aX0mP1fM8</t>
  </si>
  <si>
    <t>eJ6bY3yF3</t>
  </si>
  <si>
    <t>cT7xE5bI7</t>
  </si>
  <si>
    <t>bS3tI6xH2</t>
  </si>
  <si>
    <t>aW7xI2kS4</t>
  </si>
  <si>
    <t>iA7aS0hU5</t>
  </si>
  <si>
    <t>gV1jQ0sU7</t>
  </si>
  <si>
    <t>dY0cX2xE1</t>
  </si>
  <si>
    <t>qK5hO4gD0</t>
  </si>
  <si>
    <t>jA0hH4gR6</t>
  </si>
  <si>
    <t>pO8uA4mQ0</t>
  </si>
  <si>
    <t>tT5lD2sX4</t>
  </si>
  <si>
    <t>xA7sG6hG6</t>
  </si>
  <si>
    <t>nE8iT6mN2</t>
  </si>
  <si>
    <t>eN7fT8iD6</t>
  </si>
  <si>
    <t>oG8vW3tE0</t>
  </si>
  <si>
    <t>eN7hM3eM4</t>
  </si>
  <si>
    <t>sU7uO7cW7</t>
  </si>
  <si>
    <t>yY0sN8dX6</t>
  </si>
  <si>
    <t>gX5jR1iF5</t>
  </si>
  <si>
    <t>oK2pH4uA8</t>
  </si>
  <si>
    <t>wF2eN0aT1</t>
  </si>
  <si>
    <t>pA8fB5xF1</t>
  </si>
  <si>
    <t>gF6lE1cG5</t>
  </si>
  <si>
    <t>qW1pK7wM5</t>
  </si>
  <si>
    <t>sJ6aX7hM7</t>
  </si>
  <si>
    <t>iA2rY6kW5</t>
  </si>
  <si>
    <t>iR0pS6uE6</t>
  </si>
  <si>
    <t>qE7dW2vV1</t>
  </si>
  <si>
    <t>rS3yY1lA8</t>
  </si>
  <si>
    <t>qF6aY1aB8</t>
  </si>
  <si>
    <t>jW3jH7bX4</t>
  </si>
  <si>
    <t>cW2aB8nA7</t>
  </si>
  <si>
    <t>fA1jB0yY3</t>
  </si>
  <si>
    <t>eI4iA4pY3</t>
  </si>
  <si>
    <t>gW5lY8eI5</t>
  </si>
  <si>
    <t>tT7cR2kJ2</t>
  </si>
  <si>
    <t>qM7vA4sQ5</t>
  </si>
  <si>
    <t>kR5yQ7gX6</t>
  </si>
  <si>
    <t>wU6jE7gD2</t>
  </si>
  <si>
    <t>wU1nV0dW6</t>
  </si>
  <si>
    <t>wN4tO2fG2</t>
  </si>
  <si>
    <t>cH0jE0vR5</t>
  </si>
  <si>
    <t>fK6jT7hF8</t>
  </si>
  <si>
    <t>iJ8mV2aY0</t>
  </si>
  <si>
    <t>iQ7oY8aS8</t>
  </si>
  <si>
    <t>aS7mV4eR5</t>
  </si>
  <si>
    <t>uP3rI4lJ8</t>
  </si>
  <si>
    <t>bI7pK6yX2</t>
  </si>
  <si>
    <t>jS5tU3cT0</t>
  </si>
  <si>
    <t>wH3eE3uQ6</t>
  </si>
  <si>
    <t>cH2aE2jJ0</t>
  </si>
  <si>
    <t>jQ7xP6iI4</t>
  </si>
  <si>
    <t>cO0dD8rE1</t>
  </si>
  <si>
    <t>gN4kV1nD6</t>
  </si>
  <si>
    <t>fV6sG4nT4</t>
  </si>
  <si>
    <t>bR5mP5mH1</t>
  </si>
  <si>
    <t>dR8lY2bN4</t>
  </si>
  <si>
    <t>pW8aE6yJ2</t>
  </si>
  <si>
    <t>xT0nM4xI8</t>
  </si>
  <si>
    <t>lW3yR3jP0</t>
  </si>
  <si>
    <t>gA4fY2rW4</t>
  </si>
  <si>
    <t>nG8cU6hU5</t>
  </si>
  <si>
    <t>gU3aU7jU0</t>
  </si>
  <si>
    <t>bM4kO5jY7</t>
  </si>
  <si>
    <t>kC4pT0bC4</t>
  </si>
  <si>
    <t>kQ6vB7dE8</t>
  </si>
  <si>
    <t>bA1cW6oD8</t>
  </si>
  <si>
    <t>yG7tN2bL4</t>
  </si>
  <si>
    <t>kI6cD5bC4</t>
  </si>
  <si>
    <t>aY5aR8iB1</t>
  </si>
  <si>
    <t>mG5sT6wC8</t>
  </si>
  <si>
    <t>xB8pF3eO1</t>
  </si>
  <si>
    <t>lQ2iT2hS3</t>
  </si>
  <si>
    <t>xD7sN4jS6</t>
  </si>
  <si>
    <t>sX0yN8rP7</t>
  </si>
  <si>
    <t>hG7oG0dJ4</t>
  </si>
  <si>
    <t>qK1rW4mB7</t>
  </si>
  <si>
    <t>xO1cP2pX8</t>
  </si>
  <si>
    <t>cL3bF1hG6</t>
  </si>
  <si>
    <t>hQ2mR0nH2</t>
  </si>
  <si>
    <t>jA0cS8hA1</t>
  </si>
  <si>
    <t>iJ0fV8sC4</t>
  </si>
  <si>
    <t>bJ8pI5qB6</t>
  </si>
  <si>
    <t>dW2lS3nN6</t>
  </si>
  <si>
    <t>xE5cC4vF0</t>
  </si>
  <si>
    <t>pP3kX6yA5</t>
  </si>
  <si>
    <t>iS8tD7iF1</t>
  </si>
  <si>
    <t>iI5hC4fV7</t>
  </si>
  <si>
    <t>rH8xI6bW4</t>
  </si>
  <si>
    <t>xW1yN2mM0</t>
  </si>
  <si>
    <t>vJ4mL1uL5</t>
  </si>
  <si>
    <t>tA8uK4gS2</t>
  </si>
  <si>
    <t>gR5hV8aO1</t>
  </si>
  <si>
    <t>yH6cN0gH4</t>
  </si>
  <si>
    <t>sI3vM8dR3</t>
  </si>
  <si>
    <t>cP5aH4lH8</t>
  </si>
  <si>
    <t>sM2fC5dQ2</t>
  </si>
  <si>
    <t>rQ2qU6vX6</t>
  </si>
  <si>
    <t>cP6uI5hE8</t>
  </si>
  <si>
    <t>oJ2aR1kT2</t>
  </si>
  <si>
    <t>cO8mL4lY1</t>
  </si>
  <si>
    <t>aG3mA2gP5</t>
  </si>
  <si>
    <t>xR1iJ4oU3</t>
  </si>
  <si>
    <t>hN5eO4mG8</t>
  </si>
  <si>
    <t>jG5cU7uG7</t>
  </si>
  <si>
    <t>tQ7mI5hH3</t>
  </si>
  <si>
    <t>hU7yK5vF5</t>
  </si>
  <si>
    <t>wN3lT5tJ1</t>
  </si>
  <si>
    <t>sX6sV0bI7</t>
  </si>
  <si>
    <t>sF4bY7mO2</t>
  </si>
  <si>
    <t>nJ0oA0hG2</t>
  </si>
  <si>
    <t>aN3aP6sB1</t>
  </si>
  <si>
    <t>kX5tM7rM0</t>
  </si>
  <si>
    <t>gB2bN3aI7</t>
  </si>
  <si>
    <t>vJ1fV7sI5</t>
  </si>
  <si>
    <t>lQ3jG3kF6</t>
  </si>
  <si>
    <t>cE7xH7eK7</t>
  </si>
  <si>
    <t>wL0xP5lT4</t>
  </si>
  <si>
    <t>uX5pI1hX2</t>
  </si>
  <si>
    <t>mB7xF3qH5</t>
  </si>
  <si>
    <t>eC5sY4fC8</t>
  </si>
  <si>
    <t>pD7cW4cK1</t>
  </si>
  <si>
    <t>bM1oL0cU3</t>
  </si>
  <si>
    <t>eW2wP3fJ4</t>
  </si>
  <si>
    <t>tK7fT4cX8</t>
  </si>
  <si>
    <t>cY6mV8uG1</t>
  </si>
  <si>
    <t>oG7sK2eY4</t>
  </si>
  <si>
    <t>dT6wQ2hA6</t>
  </si>
  <si>
    <t>jJ6qQ3mX3</t>
  </si>
  <si>
    <t>bS0sL6hE6</t>
  </si>
  <si>
    <t>mL2gP5pI6</t>
  </si>
  <si>
    <t>tR2wR2yG2</t>
  </si>
  <si>
    <t>pU7fS3bR7</t>
  </si>
  <si>
    <t>jD3pM7dL1</t>
  </si>
  <si>
    <t>xE7aK4gD4</t>
  </si>
  <si>
    <t>sR3mD7cM4</t>
  </si>
  <si>
    <t>yK1cE2eI2</t>
  </si>
  <si>
    <t>bU8xI1eP6</t>
  </si>
  <si>
    <t>dV3uF1yA0</t>
  </si>
  <si>
    <t>fL4aD7sP8</t>
  </si>
  <si>
    <t>xT4yR7qL6</t>
  </si>
  <si>
    <t>rK8oB7eM3</t>
  </si>
  <si>
    <t>nM8kB2eR5</t>
  </si>
  <si>
    <t>wK5oD5tE1</t>
  </si>
  <si>
    <t>gR0pU3aV2</t>
  </si>
  <si>
    <t>oK3vT7lJ8</t>
  </si>
  <si>
    <t>fM1wR2kD5</t>
  </si>
  <si>
    <t>aJ6pD0iE0</t>
  </si>
  <si>
    <t>cQ8sM6nT5</t>
  </si>
  <si>
    <t>mL8fK7yH5</t>
  </si>
  <si>
    <t>bL7rU6oG2</t>
  </si>
  <si>
    <t>kR1yC5uU7</t>
  </si>
  <si>
    <t>oD3sE1mV7</t>
  </si>
  <si>
    <t>iH5cL7jT7</t>
  </si>
  <si>
    <t>gP3gO6vI8</t>
  </si>
  <si>
    <t>cU5sA4qA3</t>
  </si>
  <si>
    <t>fF0lU1pY0</t>
  </si>
  <si>
    <t>sU7vB0jD8</t>
  </si>
  <si>
    <t>sK5tU4yK8</t>
  </si>
  <si>
    <t>lH0wJ6bE0</t>
  </si>
  <si>
    <t>bA5sN2gH6</t>
  </si>
  <si>
    <t>iN3qP1hK1</t>
  </si>
  <si>
    <t>wC6fL5fA4</t>
  </si>
  <si>
    <t>lS6kL1fW1</t>
  </si>
  <si>
    <t>yR5yD4cV5</t>
  </si>
  <si>
    <t>hB2bE6lY3</t>
  </si>
  <si>
    <t>kI1xO2mW6</t>
  </si>
  <si>
    <t>eQ8dC5bK4</t>
  </si>
  <si>
    <t>lV6aY0sY7</t>
  </si>
  <si>
    <t>mW4bB1vX0</t>
  </si>
  <si>
    <t>mN0sT8vS7</t>
  </si>
  <si>
    <t>qV5pN1uF3</t>
  </si>
  <si>
    <t>bX7oO3uA0</t>
  </si>
  <si>
    <t>jB7cM0dL3</t>
  </si>
  <si>
    <t>kO2nJ6cL1</t>
  </si>
  <si>
    <t>tA2oD7vT8</t>
  </si>
  <si>
    <t>bQ3tU8sS6</t>
  </si>
  <si>
    <t>tB3cG7kQ8</t>
  </si>
  <si>
    <t>eO5jA5sS0</t>
  </si>
  <si>
    <t>dU1jY5yD0</t>
  </si>
  <si>
    <t>sC4uS5gQ2</t>
  </si>
  <si>
    <t>oK3cV6iK8</t>
  </si>
  <si>
    <t>wM8oQ5uJ5</t>
  </si>
  <si>
    <t>hU6vA6xB7</t>
  </si>
  <si>
    <t>jT7yY0dY7</t>
  </si>
  <si>
    <t>tL0bR0yS0</t>
  </si>
  <si>
    <t>wB6gB4cE8</t>
  </si>
  <si>
    <t>nP5dR2dU7</t>
  </si>
  <si>
    <t>jA6mC1nJ1</t>
  </si>
  <si>
    <t>kE2qK6pE0</t>
  </si>
  <si>
    <t>lD7pI7wJ4</t>
  </si>
  <si>
    <t>sD0iI8tV8</t>
  </si>
  <si>
    <t>mC8iW0sK6</t>
  </si>
  <si>
    <t>xP3hL1fO5</t>
  </si>
  <si>
    <t>fL4kX0gM2</t>
  </si>
  <si>
    <t>mP1eV7bG0</t>
  </si>
  <si>
    <t>vW4uW1mU0</t>
  </si>
  <si>
    <t>oC5aF3oX5</t>
  </si>
  <si>
    <t>wJ0sS6lY8</t>
  </si>
  <si>
    <t>vM5bC3lR1</t>
  </si>
  <si>
    <t>pX3jE6nC0</t>
  </si>
  <si>
    <t>qS7eV3dO2</t>
  </si>
  <si>
    <t>yU3iU8lQ8</t>
  </si>
  <si>
    <t>lX6yH0mU1</t>
  </si>
  <si>
    <t>bJ6kA4xK4</t>
  </si>
  <si>
    <t>kL6pO1sN7</t>
  </si>
  <si>
    <t>qU2yG4oA7</t>
  </si>
  <si>
    <t>gN2mD3cM6</t>
  </si>
  <si>
    <t>pL0gQ1aT8</t>
  </si>
  <si>
    <t>pI1wC6fN8</t>
  </si>
  <si>
    <t>wN4bG1nS3</t>
  </si>
  <si>
    <t>bA3bB4wN0</t>
  </si>
  <si>
    <t>oG0cR0vC8</t>
  </si>
  <si>
    <t>uE8eJ4rK3</t>
  </si>
  <si>
    <t>gR3tA2lG4</t>
  </si>
  <si>
    <t>dG5nT4pU8</t>
  </si>
  <si>
    <t>hF7hD5jB2</t>
  </si>
  <si>
    <t>tU5hC4gO4</t>
  </si>
  <si>
    <t>rR1qS0fR3</t>
  </si>
  <si>
    <t>aE7kD0qH6</t>
  </si>
  <si>
    <t>eQ6pV8bX8</t>
  </si>
  <si>
    <t>dF1yK0hV3</t>
  </si>
  <si>
    <t>pT5uU7dB3</t>
  </si>
  <si>
    <t>xY2oB6pF8</t>
  </si>
  <si>
    <t>lV0yT7pC8</t>
  </si>
  <si>
    <t>rB5rB1iT5</t>
  </si>
  <si>
    <t>tX7wL6bA1</t>
  </si>
  <si>
    <t>iM7qV6nR2</t>
  </si>
  <si>
    <t>yV3pR6vE3</t>
  </si>
  <si>
    <t>tF1qM7yG5</t>
  </si>
  <si>
    <t>dH8qK3tQ6</t>
  </si>
  <si>
    <t>tD4wA1vG7</t>
  </si>
  <si>
    <t>fJ1sR7iP4</t>
  </si>
  <si>
    <t>jT7eS5gH5</t>
  </si>
  <si>
    <t>dX1dA6vY4</t>
  </si>
  <si>
    <t>bD6yQ7rQ3</t>
  </si>
  <si>
    <t>iE2cH6kM1</t>
  </si>
  <si>
    <t>mK1sJ4nH6</t>
  </si>
  <si>
    <t>gA8yB1wS7</t>
  </si>
  <si>
    <t>kC4qD7iQ3</t>
  </si>
  <si>
    <t>nF0xV5pO1</t>
  </si>
  <si>
    <t>iL5wA8lS8</t>
  </si>
  <si>
    <t>lI5eE3kN5</t>
  </si>
  <si>
    <t>eG6eN7nE5</t>
  </si>
  <si>
    <t>cL3fY2uJ4</t>
  </si>
  <si>
    <t>gI3sM3vF0</t>
  </si>
  <si>
    <t>oN4kC7gD5</t>
  </si>
  <si>
    <t>nO0nQ8tP4</t>
  </si>
  <si>
    <t>fQ6lM2qK7</t>
  </si>
  <si>
    <t>oJ5kC8qX2</t>
  </si>
  <si>
    <t>lL7fJ0qQ5</t>
  </si>
  <si>
    <t>aP4oJ3iC7</t>
  </si>
  <si>
    <t>rV1uT8wJ3</t>
  </si>
  <si>
    <t>vH2fS8jM2</t>
  </si>
  <si>
    <t>iC1lY7wN3</t>
  </si>
  <si>
    <t>pI8gH8fB5</t>
  </si>
  <si>
    <t>pI8mN2gX0</t>
  </si>
  <si>
    <t>iW0kI5uE1</t>
  </si>
  <si>
    <t>nC2uU1vI6</t>
  </si>
  <si>
    <t>qM4fM8dC8</t>
  </si>
  <si>
    <t>lT8bE2jV7</t>
  </si>
  <si>
    <t>qK7xQ6fM5</t>
  </si>
  <si>
    <t>lL0uI7gT3</t>
  </si>
  <si>
    <t>xM1oW7xD8</t>
  </si>
  <si>
    <t>dD2cL1pY2</t>
  </si>
  <si>
    <t>kW3pR2cI8</t>
  </si>
  <si>
    <t>rD7sD3nR2</t>
  </si>
  <si>
    <t>rJ7yQ1dO2</t>
  </si>
  <si>
    <t>lW3mW0pL3</t>
  </si>
  <si>
    <t>gL3eG2fP7</t>
  </si>
  <si>
    <t>nA3nN7pB0</t>
  </si>
  <si>
    <t>iK1rU5fP1</t>
  </si>
  <si>
    <t>eE3uC5fA4</t>
  </si>
  <si>
    <t>nI2dJ4eD3</t>
  </si>
  <si>
    <t>dQ4qY6bO8</t>
  </si>
  <si>
    <t>yO1nW4vT6</t>
  </si>
  <si>
    <t>gX7kM1xI7</t>
  </si>
  <si>
    <t>cN1tA5lX0</t>
  </si>
  <si>
    <t>mK3mL7nB6</t>
  </si>
  <si>
    <t>jF4eR1sQ8</t>
  </si>
  <si>
    <t>qE3vU6fW7</t>
  </si>
  <si>
    <t>aU6jW1bB4</t>
  </si>
  <si>
    <t>dN8vY5mL8</t>
  </si>
  <si>
    <t>oT0kI2cS7</t>
  </si>
  <si>
    <t>wI2iE8fS8</t>
  </si>
  <si>
    <t>tH7yI2wG8</t>
  </si>
  <si>
    <t>nK8qU1sH4</t>
  </si>
  <si>
    <t>sP4uS5bF0</t>
  </si>
  <si>
    <t>hM8pF3rF8</t>
  </si>
  <si>
    <t>sR1rY3fP0</t>
  </si>
  <si>
    <t>kL1rR7xN1</t>
  </si>
  <si>
    <t>hE4bA8mD2</t>
  </si>
  <si>
    <t>mO2tN6aR8</t>
  </si>
  <si>
    <t>gN4lO5nD1</t>
  </si>
  <si>
    <t>pV2wU5uF4</t>
  </si>
  <si>
    <t>tK0iL0tE4</t>
  </si>
  <si>
    <t>wP8jR4iA4</t>
  </si>
  <si>
    <t>iT5gE1pM4</t>
  </si>
  <si>
    <t>cY8hL8rR7</t>
  </si>
  <si>
    <t>cY2hQ1oF3</t>
  </si>
  <si>
    <t>yG7xI5cP3</t>
  </si>
  <si>
    <t>xN3vP5kO4</t>
  </si>
  <si>
    <t>gR0jG2sU3</t>
  </si>
  <si>
    <t>dY5cJ0oC0</t>
  </si>
  <si>
    <t>rK5aJ2jU7</t>
  </si>
  <si>
    <t>cO6dL6aB3</t>
  </si>
  <si>
    <t>dQ2rJ4uI4</t>
  </si>
  <si>
    <t>xL2dG6tY5</t>
  </si>
  <si>
    <t>sE3bW3nC5</t>
  </si>
  <si>
    <t>yD4wL7sL6</t>
  </si>
  <si>
    <t>rN2eL3tY7</t>
  </si>
  <si>
    <t>dP5gC4pU5</t>
  </si>
  <si>
    <t>iP5lX7fR1</t>
  </si>
  <si>
    <t>rJ7qL3cN7</t>
  </si>
  <si>
    <t>vE3gK8xC8</t>
  </si>
  <si>
    <t>nN3bC1lS5</t>
  </si>
  <si>
    <t>dW1eI2nU2</t>
  </si>
  <si>
    <t>sO0eS1pM8</t>
  </si>
  <si>
    <t>xF4yS4oC3</t>
  </si>
  <si>
    <t>sC5lO8tF0</t>
  </si>
  <si>
    <t>oR0uE7sO2</t>
  </si>
  <si>
    <t>vS3dO5mO4</t>
  </si>
  <si>
    <t>yN3nV3kW5</t>
  </si>
  <si>
    <t>eF0qQ8kE3</t>
  </si>
  <si>
    <t>nF0sF5mC6</t>
  </si>
  <si>
    <t>eG7jN4eJ0</t>
  </si>
  <si>
    <t>mU3yQ1sN5</t>
  </si>
  <si>
    <t>aR5qD5eU2</t>
  </si>
  <si>
    <t>wV5nD8rI2</t>
  </si>
  <si>
    <t>uL4wA4oR6</t>
  </si>
  <si>
    <t>mQ1hY1cQ0</t>
  </si>
  <si>
    <t>wS1kS7cH7</t>
  </si>
  <si>
    <t>pU3pM8tD3</t>
  </si>
  <si>
    <t>yS3wB4vM0</t>
  </si>
  <si>
    <t>eY8iM7uF7</t>
  </si>
  <si>
    <t>wO0tG8oX5</t>
  </si>
  <si>
    <t>rD3fV8xR3</t>
  </si>
  <si>
    <t>mY8fH4jI1</t>
  </si>
  <si>
    <t>pI8iF0qT4</t>
  </si>
  <si>
    <t>nV6gY0rJ2</t>
  </si>
  <si>
    <t>eS1cL3hE2</t>
  </si>
  <si>
    <t>iK7fR8dX7</t>
  </si>
  <si>
    <t>nL4bY7jR1</t>
  </si>
  <si>
    <t>dM4lY5sK2</t>
  </si>
  <si>
    <t>vY3pU6qG1</t>
  </si>
  <si>
    <t>dH0dC2aU6</t>
  </si>
  <si>
    <t>mO1tU6aU3</t>
  </si>
  <si>
    <t>dF3uI6rV4</t>
  </si>
  <si>
    <t>gU8bK2nJ6</t>
  </si>
  <si>
    <t>oT7sA1rT3</t>
  </si>
  <si>
    <t>xB3wL2aY6</t>
  </si>
  <si>
    <t>nL8mJ8mN0</t>
  </si>
  <si>
    <t>sT6hS1dI6</t>
  </si>
  <si>
    <t>qH1wU0rM3</t>
  </si>
  <si>
    <t>aX0oQ3mT6</t>
  </si>
  <si>
    <t>pG1wQ1qD0</t>
  </si>
  <si>
    <t>xX8pY4uK1</t>
  </si>
  <si>
    <t>jB4bN5iF1</t>
  </si>
  <si>
    <t>lY7uT6tC3</t>
  </si>
  <si>
    <t>rT0jO7qR0</t>
  </si>
  <si>
    <t>fV4gM4eR0</t>
  </si>
  <si>
    <t>mX2yA6eY2</t>
  </si>
  <si>
    <t>hW7bW4uM4</t>
  </si>
  <si>
    <t>rT1qW6uC7</t>
  </si>
  <si>
    <t>yI5eI2aY1</t>
  </si>
  <si>
    <t>mW1iX3dA3</t>
  </si>
  <si>
    <t>mW3bQ3uD8</t>
  </si>
  <si>
    <t>vV4aX4uC4</t>
  </si>
  <si>
    <t>jU7cQ0dY7</t>
  </si>
  <si>
    <t>lO5oW0eX1</t>
  </si>
  <si>
    <t>aT7cH2qC2</t>
  </si>
  <si>
    <t>lE7bJ4cI4</t>
  </si>
  <si>
    <t>uG5hU5nT1</t>
  </si>
  <si>
    <t>tF0kC4hB5</t>
  </si>
  <si>
    <t>iS8dV8tG0</t>
  </si>
  <si>
    <t>jY7iF8fG0</t>
  </si>
  <si>
    <t>fH5fB2jH3</t>
  </si>
  <si>
    <t>pB1mH8xJ0</t>
  </si>
  <si>
    <t>bG1cV5bF1</t>
  </si>
  <si>
    <t>aP6wY0tS2</t>
  </si>
  <si>
    <t>jN5vW6jU8</t>
  </si>
  <si>
    <t>rR2uB3gA4</t>
  </si>
  <si>
    <t>bV5eN2dU0</t>
  </si>
  <si>
    <t>rP4fI3hX5</t>
  </si>
  <si>
    <t>jQ6cM0kQ1</t>
  </si>
  <si>
    <t>wY1pR3mS3</t>
  </si>
  <si>
    <t>pC6uY7dV8</t>
  </si>
  <si>
    <t>hD8uP8iM2</t>
  </si>
  <si>
    <t>bO3mH6aQ5</t>
  </si>
  <si>
    <t>iL5xK6vB5</t>
  </si>
  <si>
    <t>lH2aP8gL7</t>
  </si>
  <si>
    <t>aW7rV1eB7</t>
  </si>
  <si>
    <t>eT8vT1rK2</t>
  </si>
  <si>
    <t>jA8eC5dR2</t>
  </si>
  <si>
    <t>mK7nN2rQ4</t>
  </si>
  <si>
    <t>yK6bT1jQ8</t>
  </si>
  <si>
    <t>cL6dV6gR7</t>
  </si>
  <si>
    <t>mR2cR8mH5</t>
  </si>
  <si>
    <t>fB2aA4mB1</t>
  </si>
  <si>
    <t>eX3sO0wR2</t>
  </si>
  <si>
    <t>yM5uV1iP3</t>
  </si>
  <si>
    <t>tO1wO1kN3</t>
  </si>
  <si>
    <t>bW7bG2iD0</t>
  </si>
  <si>
    <t>iR1eM7kH4</t>
  </si>
  <si>
    <t>bL3eU7fW0</t>
  </si>
  <si>
    <t>wK7wS5nY5</t>
  </si>
  <si>
    <t>jK2kC5fQ2</t>
  </si>
  <si>
    <t>gH4xV4vX3</t>
  </si>
  <si>
    <t>uL3lI8wC4</t>
  </si>
  <si>
    <t>xT3lM0iL3</t>
  </si>
  <si>
    <t>vJ5pA2iH3</t>
  </si>
  <si>
    <t>sN2oI8tN3</t>
  </si>
  <si>
    <t>qJ6kF3iU5</t>
  </si>
  <si>
    <t>eX1yM5fM8</t>
  </si>
  <si>
    <t>kA2pP6pH8</t>
  </si>
  <si>
    <t>dE2gC2pO7</t>
  </si>
  <si>
    <t>dA6fX1wH1</t>
  </si>
  <si>
    <t>bP6gG8nT5</t>
  </si>
  <si>
    <t>iD3kR5bW0</t>
  </si>
  <si>
    <t>uY1kB8jQ8</t>
  </si>
  <si>
    <t>pR2cM8eT6</t>
  </si>
  <si>
    <t>fM0lI7nK8</t>
  </si>
  <si>
    <t>mV6nO0oW1</t>
  </si>
  <si>
    <t>uW5uX4fH2</t>
  </si>
  <si>
    <t>bE1bT3aX3</t>
  </si>
  <si>
    <t>rM7kN5jW0</t>
  </si>
  <si>
    <t>tU1bK8vL6</t>
  </si>
  <si>
    <t>nM5pN6oA5</t>
  </si>
  <si>
    <t>iE5lC8hC7</t>
  </si>
  <si>
    <t>sT2kM2cW3</t>
  </si>
  <si>
    <t>cU3gV6hR8</t>
  </si>
  <si>
    <t>vB6lP6cC2</t>
  </si>
  <si>
    <t>nP8iV8bR7</t>
  </si>
  <si>
    <t>kM6hF0tO2</t>
  </si>
  <si>
    <t>fS2mS1wJ5</t>
  </si>
  <si>
    <t>bK8dF1tG3</t>
  </si>
  <si>
    <t>eN6bE7nU2</t>
  </si>
  <si>
    <t>pG7vB7eJ2</t>
  </si>
  <si>
    <t>dJ8sJ4tK2</t>
  </si>
  <si>
    <t>hE2xC1iE8</t>
  </si>
  <si>
    <t>xD1mM5rX1</t>
  </si>
  <si>
    <t>vJ6jH8qY5</t>
  </si>
  <si>
    <t>nM8jC5uK7</t>
  </si>
  <si>
    <t>nG1qO8bS2</t>
  </si>
  <si>
    <t>tI4eB1lP7</t>
  </si>
  <si>
    <t>dR5dQ7lA5</t>
  </si>
  <si>
    <t>pK0oO8yS8</t>
  </si>
  <si>
    <t>mD4oX2vH6</t>
  </si>
  <si>
    <t>uF2kB0nS8</t>
  </si>
  <si>
    <t>mC7uF0dC0</t>
  </si>
  <si>
    <t>cJ8qY7uM3</t>
  </si>
  <si>
    <t>iJ6tE6rP5</t>
  </si>
  <si>
    <t>qU6bW4uC7</t>
  </si>
  <si>
    <t>nM7dY5lH8</t>
  </si>
  <si>
    <t>cI2aT5tR0</t>
  </si>
  <si>
    <t>lA1rU1gX2</t>
  </si>
  <si>
    <t>rT0dW4tY8</t>
  </si>
  <si>
    <t>qH5cK3aD2</t>
  </si>
  <si>
    <t>eC8qE5iS6</t>
  </si>
  <si>
    <t>aW4eG7xC8</t>
  </si>
  <si>
    <t>nU1gE1aK5</t>
  </si>
  <si>
    <t>oP4xN0eP1</t>
  </si>
  <si>
    <t>iJ7uI4nN0</t>
  </si>
  <si>
    <t>bV8iM1aE2</t>
  </si>
  <si>
    <t>gO5jK2lM4</t>
  </si>
  <si>
    <t>xX0cX2hP8</t>
  </si>
  <si>
    <t>gE2mD3vO6</t>
  </si>
  <si>
    <t>xV3mC5uJ6</t>
  </si>
  <si>
    <t>vK6aA2gE7</t>
  </si>
  <si>
    <t>iY3wI2uL5</t>
  </si>
  <si>
    <t>sV5tW6lL8</t>
  </si>
  <si>
    <t>uG1vV1qB8</t>
  </si>
  <si>
    <t>yA4nL4qR2</t>
  </si>
  <si>
    <t>jF4uD5yU8</t>
  </si>
  <si>
    <t>hH8vG7bB7</t>
  </si>
  <si>
    <t>aO3qD0cP0</t>
  </si>
  <si>
    <t>dD8jJ3vN2</t>
  </si>
  <si>
    <t>fE0pR0wS4</t>
  </si>
  <si>
    <t>uS5xI0bI0</t>
  </si>
  <si>
    <t>hG3vA7dA7</t>
  </si>
  <si>
    <t>oP1iR2fH7</t>
  </si>
  <si>
    <t>lI3pC0dN1</t>
  </si>
  <si>
    <t>iD5tQ6nH5</t>
  </si>
  <si>
    <t>gI7lL3pD2</t>
  </si>
  <si>
    <t>xJ1lN3oQ4</t>
  </si>
  <si>
    <t>iI0gD0kI7</t>
  </si>
  <si>
    <t>oJ6dE8rX1</t>
  </si>
  <si>
    <t>hB4nX6fU8</t>
  </si>
  <si>
    <t>dW6nR8dT7</t>
  </si>
  <si>
    <t>bR8qB4gI2</t>
  </si>
  <si>
    <t>xI2yA7qS7</t>
  </si>
  <si>
    <t>wQ8gB3rJ8</t>
  </si>
  <si>
    <t>dA7vN2tO7</t>
  </si>
  <si>
    <t>tJ8hL4rJ3</t>
  </si>
  <si>
    <t>wJ1iC4xI4</t>
  </si>
  <si>
    <t>qU3sP8yP1</t>
  </si>
  <si>
    <t>vW0iE5yH4</t>
  </si>
  <si>
    <t>vJ1iU8yI0</t>
  </si>
  <si>
    <t>aX1iV6oM7</t>
  </si>
  <si>
    <t>gJ6nN2tL7</t>
  </si>
  <si>
    <t>sG5fY4lJ8</t>
  </si>
  <si>
    <t>sG3bW2uQ8</t>
  </si>
  <si>
    <t>hF4wN0cU0</t>
  </si>
  <si>
    <t>bQ2aC0wB0</t>
  </si>
  <si>
    <t>kO7hI7sM2</t>
  </si>
  <si>
    <t>dS3hR5hR6</t>
  </si>
  <si>
    <t>kT0mA4uH6</t>
  </si>
  <si>
    <t>yW5dW8vK5</t>
  </si>
  <si>
    <t>oI5iF8tA6</t>
  </si>
  <si>
    <t>fL8bV7kR0</t>
  </si>
  <si>
    <t>mU7cC1lL6</t>
  </si>
  <si>
    <t>cI5nG7gO8</t>
  </si>
  <si>
    <t>kY0jS7qU2</t>
  </si>
  <si>
    <t>gC3tC2rS1</t>
  </si>
  <si>
    <t>oK5vX2nG1</t>
  </si>
  <si>
    <t>dS6wN5oC1</t>
  </si>
  <si>
    <t>mP8nH6aL8</t>
  </si>
  <si>
    <t>pU1qY7qR1</t>
  </si>
  <si>
    <t>qB2aU2oK3</t>
  </si>
  <si>
    <t>lW8sK5aT2</t>
  </si>
  <si>
    <t>jG0cA2mV5</t>
  </si>
  <si>
    <t>aX3cS7cW7</t>
  </si>
  <si>
    <t>pJ5bW6fO8</t>
  </si>
  <si>
    <t>aW1nX1mH5</t>
  </si>
  <si>
    <t>rV0xW4dD6</t>
  </si>
  <si>
    <t>sG5jP7bT5</t>
  </si>
  <si>
    <t>qV5fI5vV5</t>
  </si>
  <si>
    <t>sL7cK2bI8</t>
  </si>
  <si>
    <t>cK2jC4eP2</t>
  </si>
  <si>
    <t>yN2eY1hD1</t>
  </si>
  <si>
    <t>qJ2xS5aO3</t>
  </si>
  <si>
    <t>sC4wA0dU2</t>
  </si>
  <si>
    <t>gS7dK6rA6</t>
  </si>
  <si>
    <t>wO3oI7wF0</t>
  </si>
  <si>
    <t>uI8dW1fF0</t>
  </si>
  <si>
    <t>vF5bU2aK3</t>
  </si>
  <si>
    <t>jN2mN7iM7</t>
  </si>
  <si>
    <t>cH0hF0wY8</t>
  </si>
  <si>
    <t>iA8hB4gL7</t>
  </si>
  <si>
    <t>vX6fU4xD0</t>
  </si>
  <si>
    <t>bR1cK0aF7</t>
  </si>
  <si>
    <t>eC2xW1bN2</t>
  </si>
  <si>
    <t>gE7iF0cS1</t>
  </si>
  <si>
    <t>yD0sW5tH2</t>
  </si>
  <si>
    <t>rD5wE6tW2</t>
  </si>
  <si>
    <t>fC1iH7kW8</t>
  </si>
  <si>
    <t>sI6nJ3bN6</t>
  </si>
  <si>
    <t>aW2hP7tT7</t>
  </si>
  <si>
    <t>oQ0uM1hO2</t>
  </si>
  <si>
    <t>eY2oC4oR7</t>
  </si>
  <si>
    <t>kA0lT1tC8</t>
  </si>
  <si>
    <t>wG2qR6cQ0</t>
  </si>
  <si>
    <t>gQ5jV8oL4</t>
  </si>
  <si>
    <t>xO0wD2lN5</t>
  </si>
  <si>
    <t>uV8hK4hP4</t>
  </si>
  <si>
    <t>gR7wA3lH8</t>
  </si>
  <si>
    <t>yH4lG3pV5</t>
  </si>
  <si>
    <t>lM0tB4wS7</t>
  </si>
  <si>
    <t>kI7oS4sV3</t>
  </si>
  <si>
    <t>oC3aE5aG4</t>
  </si>
  <si>
    <t>cI7sX3aY1</t>
  </si>
  <si>
    <t>vD8bE3wU8</t>
  </si>
  <si>
    <t>jD1lP4qY4</t>
  </si>
  <si>
    <t>uX4tC2dR2</t>
  </si>
  <si>
    <t>rP8rS6lQ8</t>
  </si>
  <si>
    <t>jI5vB2dM6</t>
  </si>
  <si>
    <t>wM0rR7iX4</t>
  </si>
  <si>
    <t>rP7fD8oM8</t>
  </si>
  <si>
    <t>iD0qR4fJ8</t>
  </si>
  <si>
    <t>nI4vE5oF5</t>
  </si>
  <si>
    <t>lP2cG4xS4</t>
  </si>
  <si>
    <t>wK6jM2dM3</t>
  </si>
  <si>
    <t>wO4aO7vL4</t>
  </si>
  <si>
    <t>qM2fM0yV1</t>
  </si>
  <si>
    <t>kO3pW4mM4</t>
  </si>
  <si>
    <t>vQ5oG8pD6</t>
  </si>
  <si>
    <t>gE6gQ6tU8</t>
  </si>
  <si>
    <t>jR6fH7iL7</t>
  </si>
  <si>
    <t>tK3wS8xD4</t>
  </si>
  <si>
    <t>dM0lJ0yT2</t>
  </si>
  <si>
    <t>pS1dM8rJ3</t>
  </si>
  <si>
    <t>eI1jW2kS8</t>
  </si>
  <si>
    <t>jF6pG8iP6</t>
  </si>
  <si>
    <t>hT4aN4bE8</t>
  </si>
  <si>
    <t>rC2qS1jC8</t>
  </si>
  <si>
    <t>nV0xK2vN2</t>
  </si>
  <si>
    <t>gC8wX4tJ3</t>
  </si>
  <si>
    <t>fC5vC1wK6</t>
  </si>
  <si>
    <t>fB5lJ4wT7</t>
  </si>
  <si>
    <t>iX0yG6bR0</t>
  </si>
  <si>
    <t>fV1kR0uX1</t>
  </si>
  <si>
    <t>cD3nJ7mJ5</t>
  </si>
  <si>
    <t>kD3hK1jW4</t>
  </si>
  <si>
    <t>bV5eV2fX5</t>
  </si>
  <si>
    <t>dM0tQ8aJ2</t>
  </si>
  <si>
    <t>rD2kA8gV0</t>
  </si>
  <si>
    <t>yN2tY3nE6</t>
  </si>
  <si>
    <t>fK1bA2bE8</t>
  </si>
  <si>
    <t>qR0gE4sT8</t>
  </si>
  <si>
    <t>fG8qT2lC7</t>
  </si>
  <si>
    <t>nA1aL3yQ8</t>
  </si>
  <si>
    <t>oY1xO4gK2</t>
  </si>
  <si>
    <t>wP5jM4iS0</t>
  </si>
  <si>
    <t>lD0xB6pC1</t>
  </si>
  <si>
    <t>wN2wG7yU6</t>
  </si>
  <si>
    <t>yN1sA1vY5</t>
  </si>
  <si>
    <t>uL3qK5fE1</t>
  </si>
  <si>
    <t>dW4rF5sR1</t>
  </si>
  <si>
    <t>iQ8mD4aE3</t>
  </si>
  <si>
    <t>bB3gC6gG6</t>
  </si>
  <si>
    <t>kI5rS7pY4</t>
  </si>
  <si>
    <t>kM6jX7eG2</t>
  </si>
  <si>
    <t>aN7gL0hE1</t>
  </si>
  <si>
    <t>gA0vA2rB5</t>
  </si>
  <si>
    <t>lS6cM8jU5</t>
  </si>
  <si>
    <t>xS4vO1aX7</t>
  </si>
  <si>
    <t>yU4pN0xU4</t>
  </si>
  <si>
    <t>bG5wS6vC8</t>
  </si>
  <si>
    <t>lQ5nT8lQ4</t>
  </si>
  <si>
    <t>aA4iF3dG2</t>
  </si>
  <si>
    <t>qP3oD3eQ1</t>
  </si>
  <si>
    <t>aG1fO8gU6</t>
  </si>
  <si>
    <t>cD5jV8oL3</t>
  </si>
  <si>
    <t>aM8mH5kT0</t>
  </si>
  <si>
    <t>qS0lO3fM6</t>
  </si>
  <si>
    <t>qV0jW5vP0</t>
  </si>
  <si>
    <t>lB7eK1dN4</t>
  </si>
  <si>
    <t>tP1lE1xC1</t>
  </si>
  <si>
    <t>sE6lH7hI2</t>
  </si>
  <si>
    <t>qV5kM3eH6</t>
  </si>
  <si>
    <t>qN8tF5iU7</t>
  </si>
  <si>
    <t>eH8dB7uI4</t>
  </si>
  <si>
    <t>pR3yQ0wG1</t>
  </si>
  <si>
    <t>wK5iO7vW7</t>
  </si>
  <si>
    <t>oJ5vY1oJ7</t>
  </si>
  <si>
    <t>vM5uA3uT8</t>
  </si>
  <si>
    <t>fB8qU1yV3</t>
  </si>
  <si>
    <t>bW8cS1lB0</t>
  </si>
  <si>
    <t>lM4aC6xD0</t>
  </si>
  <si>
    <t>aO8eP5sI4</t>
  </si>
  <si>
    <t>qM5qV2iV4</t>
  </si>
  <si>
    <t>mN8vU0eN7</t>
  </si>
  <si>
    <t>wT8lM1dV5</t>
  </si>
  <si>
    <t>jK4lW3vY4</t>
  </si>
  <si>
    <t>xO0oG0qQ8</t>
  </si>
  <si>
    <t>yG5uK7oH4</t>
  </si>
  <si>
    <t>wA5bI8jN1</t>
  </si>
  <si>
    <t>gV0gC6vP8</t>
  </si>
  <si>
    <t>pV6iM3cI0</t>
  </si>
  <si>
    <t>gE4dA8hX8</t>
  </si>
  <si>
    <t>cF3eY7lG6</t>
  </si>
  <si>
    <t>rX2fY3wO0</t>
  </si>
  <si>
    <t>aR0bB3gX5</t>
  </si>
  <si>
    <t>mA6gL0eM1</t>
  </si>
  <si>
    <t>dV3hH8vA7</t>
  </si>
  <si>
    <t>dY2gO5uW5</t>
  </si>
  <si>
    <t>oS4dW4gN5</t>
  </si>
  <si>
    <t>jI5nM4nP2</t>
  </si>
  <si>
    <t>hU5tQ5eR8</t>
  </si>
  <si>
    <t>cP2uB0tX2</t>
  </si>
  <si>
    <t>nS2mR0gX4</t>
  </si>
  <si>
    <t>jN6wI8mL3</t>
  </si>
  <si>
    <t>xT4gR1pL5</t>
  </si>
  <si>
    <t>hL1kS4nG7</t>
  </si>
  <si>
    <t>fA4xQ0mO2</t>
  </si>
  <si>
    <t>nY8sN4iU3</t>
  </si>
  <si>
    <t>qL7gU2oF6</t>
  </si>
  <si>
    <t>hI6wA5tE4</t>
  </si>
  <si>
    <t>lF3iD6eF4</t>
  </si>
  <si>
    <t>mW3iM6tX7</t>
  </si>
  <si>
    <t>bD4aK3wG4</t>
  </si>
  <si>
    <t>lW8bG7uC1</t>
  </si>
  <si>
    <t>dQ4fV3yF7</t>
  </si>
  <si>
    <t>vQ2hA6aB2</t>
  </si>
  <si>
    <t>kJ8cI4vG7</t>
  </si>
  <si>
    <t>bT2bA0nA2</t>
  </si>
  <si>
    <t>jE4xH3uV2</t>
  </si>
  <si>
    <t>kG4pA3fR1</t>
  </si>
  <si>
    <t>qE3tK3pU7</t>
  </si>
  <si>
    <t>iG1uY8yS1</t>
  </si>
  <si>
    <t>yS3mY4sS6</t>
  </si>
  <si>
    <t>nI4oX8bN1</t>
  </si>
  <si>
    <t>qF7eP3yW0</t>
  </si>
  <si>
    <t>sU7kH0pL0</t>
  </si>
  <si>
    <t>jI8mO4qU0</t>
  </si>
  <si>
    <t>tS2mQ3vX2</t>
  </si>
  <si>
    <t>mC4kH3rV2</t>
  </si>
  <si>
    <t>iN7pF4wK4</t>
  </si>
  <si>
    <t>pP1cH5uT1</t>
  </si>
  <si>
    <t>uI1fS3yV3</t>
  </si>
  <si>
    <t>gW8tJ1fS7</t>
  </si>
  <si>
    <t>aL6aU2gE1</t>
  </si>
  <si>
    <t>eQ0sP1bR2</t>
  </si>
  <si>
    <t>uD2fP6nL8</t>
  </si>
  <si>
    <t>fP1gG4rV6</t>
  </si>
  <si>
    <t>dL3aS5vM6</t>
  </si>
  <si>
    <t>sY3nY5oM7</t>
  </si>
  <si>
    <t>yC3hI7wL1</t>
  </si>
  <si>
    <t>uN8yS4vS4</t>
  </si>
  <si>
    <t>lK3kD6eX2</t>
  </si>
  <si>
    <t>dN2pB3pP2</t>
  </si>
  <si>
    <t>gJ2xS6rD7</t>
  </si>
  <si>
    <t>mI2aI0aY5</t>
  </si>
  <si>
    <t>cG5cU1kH2</t>
  </si>
  <si>
    <t>rG7lC7xE7</t>
  </si>
  <si>
    <t>uN1yW2mR3</t>
  </si>
  <si>
    <t>xB3nW6kJ0</t>
  </si>
  <si>
    <t>fB5bU6iS5</t>
  </si>
  <si>
    <t>jY5eA1nC4</t>
  </si>
  <si>
    <t>xS5fI1pN7</t>
  </si>
  <si>
    <t>fK8mD5nR7</t>
  </si>
  <si>
    <t>iJ7wK2tE3</t>
  </si>
  <si>
    <t>uL7rO5dP2</t>
  </si>
  <si>
    <t>fI5cB2uT1</t>
  </si>
  <si>
    <t>bH2pD7eL0</t>
  </si>
  <si>
    <t>oU3iM3rX7</t>
  </si>
  <si>
    <t>nM4vU4eY7</t>
  </si>
  <si>
    <t>qI7jS3nU7</t>
  </si>
  <si>
    <t>yJ5dH1wX5</t>
  </si>
  <si>
    <t>fL4uJ8nW3</t>
  </si>
  <si>
    <t>yL0uG8uP5</t>
  </si>
  <si>
    <t>rW4mY7pC4</t>
  </si>
  <si>
    <t>wX6kG3wS5</t>
  </si>
  <si>
    <t>lP5gS4cF1</t>
  </si>
  <si>
    <t>wY6bY6rQ5</t>
  </si>
  <si>
    <t>eK1oI8eI6</t>
  </si>
  <si>
    <t>xI0fK4kI7</t>
  </si>
  <si>
    <t>bO1uK1jS1</t>
  </si>
  <si>
    <t>uN2xU3eF8</t>
  </si>
  <si>
    <t>fM5mX8jN5</t>
  </si>
  <si>
    <t>aS0gU7wU8</t>
  </si>
  <si>
    <t>dD3qO3iG5</t>
  </si>
  <si>
    <t>pR7nT5cR2</t>
  </si>
  <si>
    <t>sP2cE8bX5</t>
  </si>
  <si>
    <t>kR6aY3wH2</t>
  </si>
  <si>
    <t>nI6pK2jP5</t>
  </si>
  <si>
    <t>fE1fJ3lV5</t>
  </si>
  <si>
    <t>nM6lE7bK3</t>
  </si>
  <si>
    <t>lQ8iN4xF5</t>
  </si>
  <si>
    <t>fO7hT8iK5</t>
  </si>
  <si>
    <t>mR4jB0yH6</t>
  </si>
  <si>
    <t>uX1sX7xT1</t>
  </si>
  <si>
    <t>uS6gJ0qT5</t>
  </si>
  <si>
    <t>lN3nH1fW2</t>
  </si>
  <si>
    <t>mP0kL0vX7</t>
  </si>
  <si>
    <t>tE8uO2wC6</t>
  </si>
  <si>
    <t>gK0cJ6jL2</t>
  </si>
  <si>
    <t>fM7qF5dB1</t>
  </si>
  <si>
    <t>lH1vY3pG5</t>
  </si>
  <si>
    <t>pW3oF6yX4</t>
  </si>
  <si>
    <t>nD4qB4lV6</t>
  </si>
  <si>
    <t>nK3rF2bA1</t>
  </si>
  <si>
    <t>gF2bJ6iB4</t>
  </si>
  <si>
    <t>bS4iT5jW3</t>
  </si>
  <si>
    <t>bH3bT6pO4</t>
  </si>
  <si>
    <t>jH1iY4iG6</t>
  </si>
  <si>
    <t>lJ3nT1pW2</t>
  </si>
  <si>
    <t>wU0vO2uH4</t>
  </si>
  <si>
    <t>oV3qT7sI1</t>
  </si>
  <si>
    <t>hL3gW8kT4</t>
  </si>
  <si>
    <t>kB2mL0pP5</t>
  </si>
  <si>
    <t>pJ2oM7aY5</t>
  </si>
  <si>
    <t>rJ3sP6iS2</t>
  </si>
  <si>
    <t>mN8fE1hB0</t>
  </si>
  <si>
    <t>oO7hS1gO0</t>
  </si>
  <si>
    <t>jX8dP0bB5</t>
  </si>
  <si>
    <t>cV6cD6rQ0</t>
  </si>
  <si>
    <t>jS1bK7kP4</t>
  </si>
  <si>
    <t>bA0wE3uP3</t>
  </si>
  <si>
    <t>qH4dY6iE0</t>
  </si>
  <si>
    <t>bA1rS3pR1</t>
  </si>
  <si>
    <t>lT0dN8wD5</t>
  </si>
  <si>
    <t>xJ4nX8xO8</t>
  </si>
  <si>
    <t>wI1uY5aH5</t>
  </si>
  <si>
    <t>jS3tK8lS0</t>
  </si>
  <si>
    <t>pH6lH1jA0</t>
  </si>
  <si>
    <t>bE0kF5iH2</t>
  </si>
  <si>
    <t>dP5uQ8yJ2</t>
  </si>
  <si>
    <t>iF8xV5gJ0</t>
  </si>
  <si>
    <t>lV7eT6uD3</t>
  </si>
  <si>
    <t>vA3iC8gT5</t>
  </si>
  <si>
    <t>gE5hU1hQ0</t>
  </si>
  <si>
    <t>iK3yD5jE3</t>
  </si>
  <si>
    <t>iW1uF8jQ4</t>
  </si>
  <si>
    <t>bF8dB1wM8</t>
  </si>
  <si>
    <t>fI1oV7uT3</t>
  </si>
  <si>
    <t>aI7lY2gU0</t>
  </si>
  <si>
    <t>lO2sQ4hC4</t>
  </si>
  <si>
    <t>iJ0cO6tO2</t>
  </si>
  <si>
    <t>fT1tQ4rK7</t>
  </si>
  <si>
    <t>jT7vG8xW5</t>
  </si>
  <si>
    <t>xF4cH2cI6</t>
  </si>
  <si>
    <t>iL8vG8aT6</t>
  </si>
  <si>
    <t>eF3wM1vH3</t>
  </si>
  <si>
    <t>pW4iC5kJ1</t>
  </si>
  <si>
    <t>sP3vO5wN8</t>
  </si>
  <si>
    <t>dW1hS5gL1</t>
  </si>
  <si>
    <t>tH6jO3nD0</t>
  </si>
  <si>
    <t>nK6lJ1yU1</t>
  </si>
  <si>
    <t>kA0jJ0fA7</t>
  </si>
  <si>
    <t>uL7cY5hH5</t>
  </si>
  <si>
    <t>kV7eC2tT3</t>
  </si>
  <si>
    <t>iA3jV8kC4</t>
  </si>
  <si>
    <t>tR3cU4tE7</t>
  </si>
  <si>
    <t>sE8mH6bW7</t>
  </si>
  <si>
    <t>oO1uP7wE6</t>
  </si>
  <si>
    <t>eF7lF3iO5</t>
  </si>
  <si>
    <t>dV4yE5cJ1</t>
  </si>
  <si>
    <t>tL8eF4cM6</t>
  </si>
  <si>
    <t>oU0vF6gW0</t>
  </si>
  <si>
    <t>oT4mV3uD0</t>
  </si>
  <si>
    <t>oU0oE2pO2</t>
  </si>
  <si>
    <t>qQ8lK6bN7</t>
  </si>
  <si>
    <t>mF8vP6hT0</t>
  </si>
  <si>
    <t>wJ7hJ1cT5</t>
  </si>
  <si>
    <t>fU3mA6kL8</t>
  </si>
  <si>
    <t>vW1nG6sG0</t>
  </si>
  <si>
    <t>dU6lK2pR3</t>
  </si>
  <si>
    <t>jR2wO8cI1</t>
  </si>
  <si>
    <t>wR8iF8sL8</t>
  </si>
  <si>
    <t>yK1xE1rR3</t>
  </si>
  <si>
    <t>uY6uJ8eL1</t>
  </si>
  <si>
    <t>pH0lD4wG8</t>
  </si>
  <si>
    <t>qT0mH6uO3</t>
  </si>
  <si>
    <t>aG1jR4kY2</t>
  </si>
  <si>
    <t>mB7qR5dA2</t>
  </si>
  <si>
    <t>aW3rQ5xS5</t>
  </si>
  <si>
    <t>gW2xL0aS2</t>
  </si>
  <si>
    <t>sB7eG8sK7</t>
  </si>
  <si>
    <t>iG2mP7nC7</t>
  </si>
  <si>
    <t>tU6vV3dY7</t>
  </si>
  <si>
    <t>pV8gD8bH5</t>
  </si>
  <si>
    <t>kB1wT3hP0</t>
  </si>
  <si>
    <t>sM2hN6uO7</t>
  </si>
  <si>
    <t>dA1vV4uB0</t>
  </si>
  <si>
    <t>tK2aX5uU7</t>
  </si>
  <si>
    <t>dR8aA1nM5</t>
  </si>
  <si>
    <t>sE1kP5sF3</t>
  </si>
  <si>
    <t>jA7xR3oI6</t>
  </si>
  <si>
    <t>yH2sR6qN3</t>
  </si>
  <si>
    <t>aF2gD1tC7</t>
  </si>
  <si>
    <t>uD8pT0mO7</t>
  </si>
  <si>
    <t>fA3pC2gC8</t>
  </si>
  <si>
    <t>eX2rU5cP0</t>
  </si>
  <si>
    <t>rP2lT8wO3</t>
  </si>
  <si>
    <t>hI8uR4dI5</t>
  </si>
  <si>
    <t>tF1gB3sI0</t>
  </si>
  <si>
    <t>lG7kG5nV1</t>
  </si>
  <si>
    <t>bM5gW0cD1</t>
  </si>
  <si>
    <t>wF1mI5rO2</t>
  </si>
  <si>
    <t>pJ3vC2wA2</t>
  </si>
  <si>
    <t>dV4cE5aT4</t>
  </si>
  <si>
    <t>vJ4nB0tM4</t>
  </si>
  <si>
    <t>vG4dO7vH0</t>
  </si>
  <si>
    <t>sS8wH5hK8</t>
  </si>
  <si>
    <t>qM5mW5uS6</t>
  </si>
  <si>
    <t>aJ8tC5mQ0</t>
  </si>
  <si>
    <t>eX0xO4sT7</t>
  </si>
  <si>
    <t>dA7mJ5qD3</t>
  </si>
  <si>
    <t>xA2pQ4fO6</t>
  </si>
  <si>
    <t>vI5gG1hD1</t>
  </si>
  <si>
    <t>eS1vB2bE7</t>
  </si>
  <si>
    <t>iE1bI8iF7</t>
  </si>
  <si>
    <t>jR0qW8cB0</t>
  </si>
  <si>
    <t>sH1vY5uE4</t>
  </si>
  <si>
    <t>qO2tX8fI3</t>
  </si>
  <si>
    <t>jO2iH1gJ4</t>
  </si>
  <si>
    <t>tM7rX5sA5</t>
  </si>
  <si>
    <t>hO4nH8bS0</t>
  </si>
  <si>
    <t>lA5qA4dG4</t>
  </si>
  <si>
    <t>lV5yV6hB1</t>
  </si>
  <si>
    <t>xC7aU6tM1</t>
  </si>
  <si>
    <t>nV1sX0qF5</t>
  </si>
  <si>
    <t>jS7wV6rT0</t>
  </si>
  <si>
    <t>qB2pB6qM3</t>
  </si>
  <si>
    <t>hT6vF2rA5</t>
  </si>
  <si>
    <t>eA6kQ3gE0</t>
  </si>
  <si>
    <t>cP3wS7bP5</t>
  </si>
  <si>
    <t>fF8yT3kI7</t>
  </si>
  <si>
    <t>nB6mU3mD7</t>
  </si>
  <si>
    <t>uB6pS4uI2</t>
  </si>
  <si>
    <t>kS2oS6cF3</t>
  </si>
  <si>
    <t>qR3qT0bX8</t>
  </si>
  <si>
    <t>vY5aL6qR7</t>
  </si>
  <si>
    <t>yK1jN3uD4</t>
  </si>
  <si>
    <t>yQ8jW0eI7</t>
  </si>
  <si>
    <t>uQ4gH6rJ5</t>
  </si>
  <si>
    <t>pG5yT5uY1</t>
  </si>
  <si>
    <t>oB1lY6uK8</t>
  </si>
  <si>
    <t>iK1qI5cP2</t>
  </si>
  <si>
    <t>eM4jN5wA5</t>
  </si>
  <si>
    <t>eU4rW8hT5</t>
  </si>
  <si>
    <t>qE3nH2hH5</t>
  </si>
  <si>
    <t>wH0yK4cI6</t>
  </si>
  <si>
    <t>yH2kK0sT6</t>
  </si>
  <si>
    <t>xD3yN5cV6</t>
  </si>
  <si>
    <t>sR2gQ7mY7</t>
  </si>
  <si>
    <t>qI4bJ0fO0</t>
  </si>
  <si>
    <t>wJ4iI1yS4</t>
  </si>
  <si>
    <t>qO7dV7nG8</t>
  </si>
  <si>
    <t>wD6iG0dF8</t>
  </si>
  <si>
    <t>xO8sD7hC3</t>
  </si>
  <si>
    <t>nM6oJ6wU7</t>
  </si>
  <si>
    <t>lO0tM5pR0</t>
  </si>
  <si>
    <t>cM4dS3cM0</t>
  </si>
  <si>
    <t>vD5vL7nP0</t>
  </si>
  <si>
    <t>tR7eH1sD2</t>
  </si>
  <si>
    <t>iJ7xO4tT3</t>
  </si>
  <si>
    <t>vN1vD2eA5</t>
  </si>
  <si>
    <t>wH2xW8oW1</t>
  </si>
  <si>
    <t>eD2hK8cV0</t>
  </si>
  <si>
    <t>hV5hN8jE3</t>
  </si>
  <si>
    <t>pO3pG4aD7</t>
  </si>
  <si>
    <t>jH1xH0tR7</t>
  </si>
  <si>
    <t>fB7qK6vL0</t>
  </si>
  <si>
    <t>oW1dX3xM8</t>
  </si>
  <si>
    <t>tB3yV8wA1</t>
  </si>
  <si>
    <t>vX0sB2nG1</t>
  </si>
  <si>
    <t>sE8kU5oK5</t>
  </si>
  <si>
    <t>rO0mT8iH8</t>
  </si>
  <si>
    <t>wY0qP7pA3</t>
  </si>
  <si>
    <t>eI1wX7oY2</t>
  </si>
  <si>
    <t>pH7hJ2cB1</t>
  </si>
  <si>
    <t>oJ8jQ8oT1</t>
  </si>
  <si>
    <t>dV2jH6jB7</t>
  </si>
  <si>
    <t>eX6hC3fM8</t>
  </si>
  <si>
    <t>uA7iF5tG6</t>
  </si>
  <si>
    <t>hO7uT2hQ4</t>
  </si>
  <si>
    <t>rX1pH4wX6</t>
  </si>
  <si>
    <t>tL6pQ6dR1</t>
  </si>
  <si>
    <t>eB0bY1wD4</t>
  </si>
  <si>
    <t>tA7mD1pH2</t>
  </si>
  <si>
    <t>rT2rR8kC3</t>
  </si>
  <si>
    <t>vF0tB7yT1</t>
  </si>
  <si>
    <t>qY2hE8bM2</t>
  </si>
  <si>
    <t>nP1iE1tV7</t>
  </si>
  <si>
    <t>pU1iN4oA7</t>
  </si>
  <si>
    <t>tR1oX3bE1</t>
  </si>
  <si>
    <t>hG8eS6kE1</t>
  </si>
  <si>
    <t>bX3rT5fT1</t>
  </si>
  <si>
    <t>dN4vO7sG0</t>
  </si>
  <si>
    <t>bW4mH5kW8</t>
  </si>
  <si>
    <t>wB2mN6kD1</t>
  </si>
  <si>
    <t>dF6hL6uW4</t>
  </si>
  <si>
    <t>bO5xB4yG4</t>
  </si>
  <si>
    <t>rC2hW6iE1</t>
  </si>
  <si>
    <t>iR1dU2bI6</t>
  </si>
  <si>
    <t>lY5nA8jJ6</t>
  </si>
  <si>
    <t>jM8tO4bP4</t>
  </si>
  <si>
    <t>xF0pT4aO7</t>
  </si>
  <si>
    <t>eU7fB0fI1</t>
  </si>
  <si>
    <t>lU5bN4xJ3</t>
  </si>
  <si>
    <t>hW0uR3mR6</t>
  </si>
  <si>
    <t>qL3iV8fV3</t>
  </si>
  <si>
    <t>xQ7yV3tN3</t>
  </si>
  <si>
    <t>hS0hH5oS5</t>
  </si>
  <si>
    <t>fF6gB1iF6</t>
  </si>
  <si>
    <t>sK4lA5xR7</t>
  </si>
  <si>
    <t>kF2bJ1aO2</t>
  </si>
  <si>
    <t>xV6lI8kJ5</t>
  </si>
  <si>
    <t>aW1hV4wL0</t>
  </si>
  <si>
    <t>pV2pC3bM2</t>
  </si>
  <si>
    <t>jM3bT5jR4</t>
  </si>
  <si>
    <t>aO1dO7eN2</t>
  </si>
  <si>
    <t>lU1wG1dB7</t>
  </si>
  <si>
    <t>hW6gI5mI3</t>
  </si>
  <si>
    <t>iN2qC8mK8</t>
  </si>
  <si>
    <t>kU1jD5oH4</t>
  </si>
  <si>
    <t>yF8pU5kW3</t>
  </si>
  <si>
    <t>lJ3rS2yP6</t>
  </si>
  <si>
    <t>vV6yH4fQ4</t>
  </si>
  <si>
    <t>lX1gD1lC1</t>
  </si>
  <si>
    <t>sA8mI0aT7</t>
  </si>
  <si>
    <t>dM5iI5pX0</t>
  </si>
  <si>
    <t>tV6pS8oX4</t>
  </si>
  <si>
    <t>jM5nW0cF7</t>
  </si>
  <si>
    <t>bD1uM6mK1</t>
  </si>
  <si>
    <t>nA3wD2eU3</t>
  </si>
  <si>
    <t>wV7bR4vS6</t>
  </si>
  <si>
    <t>hV2fJ7nF3</t>
  </si>
  <si>
    <t>hA8eB5uM4</t>
  </si>
  <si>
    <t>uL2fB3pT4</t>
  </si>
  <si>
    <t>qD8rI8xW5</t>
  </si>
  <si>
    <t>hA4fH4iN5</t>
  </si>
  <si>
    <t>wB2nU6sW0</t>
  </si>
  <si>
    <t>jC5pF3pJ1</t>
  </si>
  <si>
    <t>yH3aW6fN5</t>
  </si>
  <si>
    <t>qH4aC8iA6</t>
  </si>
  <si>
    <t>kI8fC5wR3</t>
  </si>
  <si>
    <t>rR0qM1sV0</t>
  </si>
  <si>
    <t>lD4yT5xG4</t>
  </si>
  <si>
    <t>uW5aT0dK8</t>
  </si>
  <si>
    <t>sU1lR4qT3</t>
  </si>
  <si>
    <t>oJ1eO2oD3</t>
  </si>
  <si>
    <t>yE7lX5fY2</t>
  </si>
  <si>
    <t>cT7uN1wI0</t>
  </si>
  <si>
    <t>uB5jJ3eY5</t>
  </si>
  <si>
    <t>oG7yB6yG4</t>
  </si>
  <si>
    <t>aO3fH1aK4</t>
  </si>
  <si>
    <t>oY7iO1hP3</t>
  </si>
  <si>
    <t>eD8iK7gA3</t>
  </si>
  <si>
    <t>gJ1bC3hK3</t>
  </si>
  <si>
    <t>cS1cE0uL2</t>
  </si>
  <si>
    <t>qM2vH7iV4</t>
  </si>
  <si>
    <t>eQ6vP1eJ4</t>
  </si>
  <si>
    <t>kK2kL0eH0</t>
  </si>
  <si>
    <t>wS0mB2wD3</t>
  </si>
  <si>
    <t>jN8eC4sP8</t>
  </si>
  <si>
    <t>mO7uY1oB7</t>
  </si>
  <si>
    <t>bQ3tI4fV3</t>
  </si>
  <si>
    <t>jG7eU3yK2</t>
  </si>
  <si>
    <t>gK5iK8wT7</t>
  </si>
  <si>
    <t>gN2cW4aS0</t>
  </si>
  <si>
    <t>fA3rL6bO1</t>
  </si>
  <si>
    <t>nV7bU4vV3</t>
  </si>
  <si>
    <t>hK7xB3aQ8</t>
  </si>
  <si>
    <t>tY6rU1iO2</t>
  </si>
  <si>
    <t>lS2xU8uY3</t>
  </si>
  <si>
    <t>wY0qU4yD2</t>
  </si>
  <si>
    <t>iV0dF4lU5</t>
  </si>
  <si>
    <t>qB4yL0rR5</t>
  </si>
  <si>
    <t>fM3wC0lQ0</t>
  </si>
  <si>
    <t>pU1xJ7iS5</t>
  </si>
  <si>
    <t>hU3gG8fM4</t>
  </si>
  <si>
    <t>yS4cM1jN3</t>
  </si>
  <si>
    <t>dQ4bO0iW1</t>
  </si>
  <si>
    <t>tK5iL6uU6</t>
  </si>
  <si>
    <t>iC3iM1xM1</t>
  </si>
  <si>
    <t>tO7wP7mH1</t>
  </si>
  <si>
    <t>oM8dA7jI4</t>
  </si>
  <si>
    <t>tO7gK2yJ1</t>
  </si>
  <si>
    <t>rD4kM1cU5</t>
  </si>
  <si>
    <t>dD4oU7iU1</t>
  </si>
  <si>
    <t>eW8mT4yO7</t>
  </si>
  <si>
    <t>pG5rM1xQ0</t>
  </si>
  <si>
    <t>wK6nB2jL4</t>
  </si>
  <si>
    <t>hO7aH4uH4</t>
  </si>
  <si>
    <t>rT5iQ5oP2</t>
  </si>
  <si>
    <t>aA7sK5oO8</t>
  </si>
  <si>
    <t>rA5lU4kY4</t>
  </si>
  <si>
    <t>xS5yA1uQ0</t>
  </si>
  <si>
    <t>eA0cG4rK5</t>
  </si>
  <si>
    <t>eO1kL6eO6</t>
  </si>
  <si>
    <t>hF0wB5qP4</t>
  </si>
  <si>
    <t>uJ3bB6gG7</t>
  </si>
  <si>
    <t>eL7cW2hA5</t>
  </si>
  <si>
    <t>tT4mG7sE1</t>
  </si>
  <si>
    <t>gQ2sN8pP4</t>
  </si>
  <si>
    <t>aI3fI1sN1</t>
  </si>
  <si>
    <t>vM7xC8hI1</t>
  </si>
  <si>
    <t>cW2pN8sB5</t>
  </si>
  <si>
    <t>hV6sO3yJ7</t>
  </si>
  <si>
    <t>cS5bO3hA6</t>
  </si>
  <si>
    <t>dD7pY8mY6</t>
  </si>
  <si>
    <t>qA6gY1eY4</t>
  </si>
  <si>
    <t>tR4sS3jB7</t>
  </si>
  <si>
    <t>wG0yM7oN6</t>
  </si>
  <si>
    <t>cK5iF2eF1</t>
  </si>
  <si>
    <t>eM7cD2fP2</t>
  </si>
  <si>
    <t>fI8cG3nP2</t>
  </si>
  <si>
    <t>nQ1kQ5cA4</t>
  </si>
  <si>
    <t>vJ7rE1jJ5</t>
  </si>
  <si>
    <t>vP7wB2iC7</t>
  </si>
  <si>
    <t>hP5uC1mH1</t>
  </si>
  <si>
    <t>tC4gE8gV3</t>
  </si>
  <si>
    <t>aH8pC5fB2</t>
  </si>
  <si>
    <t>hJ4nF1jG5</t>
  </si>
  <si>
    <t>iO3pD8sP0</t>
  </si>
  <si>
    <t>fP2qP7rX3</t>
  </si>
  <si>
    <t>nK4dY0oO1</t>
  </si>
  <si>
    <t>iL5nU6iO0</t>
  </si>
  <si>
    <t>pX4jU7dT7</t>
  </si>
  <si>
    <t>jN7bK6tT6</t>
  </si>
  <si>
    <t>nF2nX3dO8</t>
  </si>
  <si>
    <t>dT5eS0qK4</t>
  </si>
  <si>
    <t>uT3kI7rD4</t>
  </si>
  <si>
    <t>oX7xY3fR8</t>
  </si>
  <si>
    <t>cA8kM8qQ0</t>
  </si>
  <si>
    <t>eX7nB0nF2</t>
  </si>
  <si>
    <t>pC8yG0hI1</t>
  </si>
  <si>
    <t>cU5nE4qI0</t>
  </si>
  <si>
    <t>eT5qO0kQ8</t>
  </si>
  <si>
    <t>uR6kD5rY3</t>
  </si>
  <si>
    <t>rE6tI8lM6</t>
  </si>
  <si>
    <t>iJ8wD6wF2</t>
  </si>
  <si>
    <t>rI2oJ7xL0</t>
  </si>
  <si>
    <t>cA6eB0bN0</t>
  </si>
  <si>
    <t>dG5wX8fU7</t>
  </si>
  <si>
    <t>cX4wM4rJ8</t>
  </si>
  <si>
    <t>jX2wH8pF5</t>
  </si>
  <si>
    <t>nR6pB4uU0</t>
  </si>
  <si>
    <t>eJ4wR6jE5</t>
  </si>
  <si>
    <t>uH2fT6jQ2</t>
  </si>
  <si>
    <t>aV6mF7mC2</t>
  </si>
  <si>
    <t>aU3sR6dW0</t>
  </si>
  <si>
    <t>jU2rV5nP5</t>
  </si>
  <si>
    <t>sP2cT5wX6</t>
  </si>
  <si>
    <t>aI4lT5yW3</t>
  </si>
  <si>
    <t>wL2gD1dJ1</t>
  </si>
  <si>
    <t>sB2uS2dX2</t>
  </si>
  <si>
    <t>tH1oB8rR6</t>
  </si>
  <si>
    <t>tJ5mB4eT1</t>
  </si>
  <si>
    <t>pX5iU4eT5</t>
  </si>
  <si>
    <t>bM0uP4gH1</t>
  </si>
  <si>
    <t>pE2vM6lT5</t>
  </si>
  <si>
    <t>eM1bL3cL2</t>
  </si>
  <si>
    <t>sN1vB5oL6</t>
  </si>
  <si>
    <t>hC4vM8oU5</t>
  </si>
  <si>
    <t>uV2eX5jS7</t>
  </si>
  <si>
    <t>gS2wA0hN2</t>
  </si>
  <si>
    <t>nQ8mJ5gS2</t>
  </si>
  <si>
    <t>eS0cS8iK0</t>
  </si>
  <si>
    <t>xX3fB6xV8</t>
  </si>
  <si>
    <t>yY3iU0uF5</t>
  </si>
  <si>
    <t>tO7dQ8pY4</t>
  </si>
  <si>
    <t>lI6sN1lQ7</t>
  </si>
  <si>
    <t>xN8kG4eJ8</t>
  </si>
  <si>
    <t>lX8aF6wC5</t>
  </si>
  <si>
    <t>hF3cN2tX6</t>
  </si>
  <si>
    <t>jK3dJ1iN4</t>
  </si>
  <si>
    <t>lQ4iF3aG0</t>
  </si>
  <si>
    <t>dT0gJ7iB2</t>
  </si>
  <si>
    <t>cO7jX1gV4</t>
  </si>
  <si>
    <t>gD8kJ1pO4</t>
  </si>
  <si>
    <t>uR7tG0nS1</t>
  </si>
  <si>
    <t>kT7fD0eF2</t>
  </si>
  <si>
    <t>vV2sK8aY0</t>
  </si>
  <si>
    <t>oA3kY7pY7</t>
  </si>
  <si>
    <t>lT5wL3tV1</t>
  </si>
  <si>
    <t>lI6rU0cY8</t>
  </si>
  <si>
    <t>cO4wG3yC3</t>
  </si>
  <si>
    <t>rC3jW7cH5</t>
  </si>
  <si>
    <t>hF2hN6vV0</t>
  </si>
  <si>
    <t>pA7jF3lB3</t>
  </si>
  <si>
    <t>cO8jS2dQ2</t>
  </si>
  <si>
    <t>hI4eY5hY5</t>
  </si>
  <si>
    <t>rG2iB1eH7</t>
  </si>
  <si>
    <t>sJ1qB2rU3</t>
  </si>
  <si>
    <t>xL7yU1mH0</t>
  </si>
  <si>
    <t>rE7qP8dP5</t>
  </si>
  <si>
    <t>sC5xA3yV5</t>
  </si>
  <si>
    <t>rG6gH5fP6</t>
  </si>
  <si>
    <t>kM6yA2kG5</t>
  </si>
  <si>
    <t>hF7sS3hP5</t>
  </si>
  <si>
    <t>jI4mG7cO0</t>
  </si>
  <si>
    <t>cS0uA0iA2</t>
  </si>
  <si>
    <t>kT4sH8bP0</t>
  </si>
  <si>
    <t>pR7eR3kH7</t>
  </si>
  <si>
    <t>iH6xR7hC8</t>
  </si>
  <si>
    <t>wP4tX8dN7</t>
  </si>
  <si>
    <t>yA0hW4qB2</t>
  </si>
  <si>
    <t>fU4mW5pW7</t>
  </si>
  <si>
    <t>hA4rA3wM7</t>
  </si>
  <si>
    <t>bF3nH7wM8</t>
  </si>
  <si>
    <t>vO0sA0iU7</t>
  </si>
  <si>
    <t>hG1fD3mL3</t>
  </si>
  <si>
    <t>fT2pX8mQ5</t>
  </si>
  <si>
    <t>wK2oQ7oI3</t>
  </si>
  <si>
    <t>bN4sB1rK6</t>
  </si>
  <si>
    <t>pE3dU1cB3</t>
  </si>
  <si>
    <t>xJ4oN8sT5</t>
  </si>
  <si>
    <t>fO1aW2gS4</t>
  </si>
  <si>
    <t>gM0aB2iH5</t>
  </si>
  <si>
    <t>dW3nH7bA5</t>
  </si>
  <si>
    <t>dC1mH8gP1</t>
  </si>
  <si>
    <t>xV5qL0aL4</t>
  </si>
  <si>
    <t>bU6aS2vS5</t>
  </si>
  <si>
    <t>rA5tW2rI1</t>
  </si>
  <si>
    <t>wM8yW5tG5</t>
  </si>
  <si>
    <t>dD7xQ8eX2</t>
  </si>
  <si>
    <t>jC0mP6iT8</t>
  </si>
  <si>
    <t>mS6iT0cA6</t>
  </si>
  <si>
    <t>pV2dO2kA5</t>
  </si>
  <si>
    <t>mB2yB6kH0</t>
  </si>
  <si>
    <t>jB3kJ1tM1</t>
  </si>
  <si>
    <t>lC0hY5hU7</t>
  </si>
  <si>
    <t>jO5kQ4rC3</t>
  </si>
  <si>
    <t>bH5pU2iB8</t>
  </si>
  <si>
    <t>vO5nH1vO8</t>
  </si>
  <si>
    <t>mO8dV3nS5</t>
  </si>
  <si>
    <t>iX4rR0nC3</t>
  </si>
  <si>
    <t>rY5cM5vG2</t>
  </si>
  <si>
    <t>cF0hH1dL4</t>
  </si>
  <si>
    <t>bF1sF7yY2</t>
  </si>
  <si>
    <t>oG2yI5pI5</t>
  </si>
  <si>
    <t>kB8yB8oR8</t>
  </si>
  <si>
    <t>xB0nH8wG6</t>
  </si>
  <si>
    <t>rY7eL5tE3</t>
  </si>
  <si>
    <t>hQ7nT4iN2</t>
  </si>
  <si>
    <t>eY3yK1dN7</t>
  </si>
  <si>
    <t>eE0xV3wF6</t>
  </si>
  <si>
    <t>tS2wV4kA7</t>
  </si>
  <si>
    <t>bQ8cR0gN4</t>
  </si>
  <si>
    <t>nY6iB7gG2</t>
  </si>
  <si>
    <t>hF6yA4hA4</t>
  </si>
  <si>
    <t>dX6kD3bK6</t>
  </si>
  <si>
    <t>vC0sH8lU2</t>
  </si>
  <si>
    <t>yK0tE5rL8</t>
  </si>
  <si>
    <t>iX2pB8qR5</t>
  </si>
  <si>
    <t>yG2oJ3sN0</t>
  </si>
  <si>
    <t>kC2rA4eU1</t>
  </si>
  <si>
    <t>bM0fR6cI6</t>
  </si>
  <si>
    <t>dT4wI8cU4</t>
  </si>
  <si>
    <t>hD3xT6wF7</t>
  </si>
  <si>
    <t>iQ4mI5kX8</t>
  </si>
  <si>
    <t>wS5oI8oF2</t>
  </si>
  <si>
    <t>cO4pG4oJ6</t>
  </si>
  <si>
    <t>iA8qF8fQ1</t>
  </si>
  <si>
    <t>hM0nL7qY2</t>
  </si>
  <si>
    <t>dS3aP1uF6</t>
  </si>
  <si>
    <t>tW2iQ2lI5</t>
  </si>
  <si>
    <t>wX0pG2lN8</t>
  </si>
  <si>
    <t>xK7eP7nU8</t>
  </si>
  <si>
    <t>qM4fP3cL6</t>
  </si>
  <si>
    <t>tI4jH6jX6</t>
  </si>
  <si>
    <t>hB5mR8wT4</t>
  </si>
  <si>
    <t>xP4xE4sV0</t>
  </si>
  <si>
    <t>sK2nV0uB7</t>
  </si>
  <si>
    <t>sJ0qX8yT8</t>
  </si>
  <si>
    <t>gY2wS8eO5</t>
  </si>
  <si>
    <t>wW2aB8wU7</t>
  </si>
  <si>
    <t>lP4gH0sA4</t>
  </si>
  <si>
    <t>pG3nX4oQ6</t>
  </si>
  <si>
    <t>xY8lJ3gV8</t>
  </si>
  <si>
    <t>iC3lE1wC4</t>
  </si>
  <si>
    <t>gO2qG2pB2</t>
  </si>
  <si>
    <t>gA5wY2xP7</t>
  </si>
  <si>
    <t>iJ8fV8uA2</t>
  </si>
  <si>
    <t>wG8rU5tJ3</t>
  </si>
  <si>
    <t>sQ6pD7vQ1</t>
  </si>
  <si>
    <t>kF3uL4rB7</t>
  </si>
  <si>
    <t>lG2kI1sX2</t>
  </si>
  <si>
    <t>jX5nX6bM5</t>
  </si>
  <si>
    <t>kC8lH6jG4</t>
  </si>
  <si>
    <t>kT8sR0kA1</t>
  </si>
  <si>
    <t>oE2uM3lQ8</t>
  </si>
  <si>
    <t>qV1pN1nN2</t>
  </si>
  <si>
    <t>pH2iQ7dF2</t>
  </si>
  <si>
    <t>eI3sR0wM3</t>
  </si>
  <si>
    <t>vU4hN6bG4</t>
  </si>
  <si>
    <t>xE6lK0fA0</t>
  </si>
  <si>
    <t>eO6oH4kO8</t>
  </si>
  <si>
    <t>oD4mT2lO2</t>
  </si>
  <si>
    <t>oL6qI8pU6</t>
  </si>
  <si>
    <t>cT1eN2aI8</t>
  </si>
  <si>
    <t>jE6kX5sK0</t>
  </si>
  <si>
    <t>jN3hK3bB0</t>
  </si>
  <si>
    <t>cL2nE6iJ6</t>
  </si>
  <si>
    <t>xM6xJ4jA0</t>
  </si>
  <si>
    <t>lK0pK4kR6</t>
  </si>
  <si>
    <t>wA0mE2gF5</t>
  </si>
  <si>
    <t>hC1qV5lY1</t>
  </si>
  <si>
    <t>eY8wU1lG1</t>
  </si>
  <si>
    <t>fV3uT6bA7</t>
  </si>
  <si>
    <t>gK7fG8gR1</t>
  </si>
  <si>
    <t>lG5dV7iI7</t>
  </si>
  <si>
    <t>jG6sM2fG3</t>
  </si>
  <si>
    <t>xA5jH3hR2</t>
  </si>
  <si>
    <t>iM7mK4mA5</t>
  </si>
  <si>
    <t>iI0nN3lM0</t>
  </si>
  <si>
    <t>pT4tS8oO6</t>
  </si>
  <si>
    <t>rK4vX1jM6</t>
  </si>
  <si>
    <t>xK3tP7qS8</t>
  </si>
  <si>
    <t>aI3tC3pS4</t>
  </si>
  <si>
    <t>aM3oY4yI4</t>
  </si>
  <si>
    <t>cC0cE1yU1</t>
  </si>
  <si>
    <t>lS6hT8gY5</t>
  </si>
  <si>
    <t>sV2qI5dN8</t>
  </si>
  <si>
    <t>dR4iD6aL5</t>
  </si>
  <si>
    <t>hP2aN8eN2</t>
  </si>
  <si>
    <t>hS3dV1vG8</t>
  </si>
  <si>
    <t>gS8gU0tM2</t>
  </si>
  <si>
    <t>mW3jP6nY3</t>
  </si>
  <si>
    <t>qP1dJ6wB3</t>
  </si>
  <si>
    <t>hS2aO1kM4</t>
  </si>
  <si>
    <t>sB6sC7lB7</t>
  </si>
  <si>
    <t>mR1fG7xP1</t>
  </si>
  <si>
    <t>cH5lC6qQ5</t>
  </si>
  <si>
    <t>kH3rM5hR7</t>
  </si>
  <si>
    <t>rI0qJ6pJ2</t>
  </si>
  <si>
    <t>eQ3oB8kY6</t>
  </si>
  <si>
    <t>lT7mM5hQ6</t>
  </si>
  <si>
    <t>jX6nG4vB0</t>
  </si>
  <si>
    <t>tE3eK7nQ6</t>
  </si>
  <si>
    <t>fT8jV3bB1</t>
  </si>
  <si>
    <t>hN3pF7cG8</t>
  </si>
  <si>
    <t>jN6fD1hJ6</t>
  </si>
  <si>
    <t>yY4yY5dF0</t>
  </si>
  <si>
    <t>sA0eC3bY8</t>
  </si>
  <si>
    <t>kY5rP7lH7</t>
  </si>
  <si>
    <t>yE4wG0nK8</t>
  </si>
  <si>
    <t>jU5fW7hP8</t>
  </si>
  <si>
    <t>wL4gK1xD8</t>
  </si>
  <si>
    <t>sA1rH6wF4</t>
  </si>
  <si>
    <t>bX3fQ7gP1</t>
  </si>
  <si>
    <t>nG6vL0xX5</t>
  </si>
  <si>
    <t>wT7yS4lW3</t>
  </si>
  <si>
    <t>tX8aX5mF0</t>
  </si>
  <si>
    <t>gD2dD6hF0</t>
  </si>
  <si>
    <t>dM7iA6nP0</t>
  </si>
  <si>
    <t>oX0aO6vK6</t>
  </si>
  <si>
    <t>lL2dV8fI5</t>
  </si>
  <si>
    <t>pT7rO6iT3</t>
  </si>
  <si>
    <t>bX4iT4kV8</t>
  </si>
  <si>
    <t>vE6jL5yK3</t>
  </si>
  <si>
    <t>yB0pJ6bR8</t>
  </si>
  <si>
    <t>jT8oD7cE3</t>
  </si>
  <si>
    <t>cB8yM0mT5</t>
  </si>
  <si>
    <t>gB6jB5yI4</t>
  </si>
  <si>
    <t>dI5lD3jM7</t>
  </si>
  <si>
    <t>qS3mK0bR1</t>
  </si>
  <si>
    <t>mB5gQ4gA5</t>
  </si>
  <si>
    <t>qB3aC7oP0</t>
  </si>
  <si>
    <t>tH6eL5mK0</t>
  </si>
  <si>
    <t>tT5aX1dY4</t>
  </si>
  <si>
    <t>cI1cB5pK5</t>
  </si>
  <si>
    <t>qB2iD0nX1</t>
  </si>
  <si>
    <t>tL1oR1oK1</t>
  </si>
  <si>
    <t>eG5lU4tM4</t>
  </si>
  <si>
    <t>tY2xY1sT0</t>
  </si>
  <si>
    <t>iY3bF0gE4</t>
  </si>
  <si>
    <t>cI7lF5iY7</t>
  </si>
  <si>
    <t>cM7bI8yA4</t>
  </si>
  <si>
    <t>bJ6gV7rM2</t>
  </si>
  <si>
    <t>uS3fT0mT1</t>
  </si>
  <si>
    <t>yL6jO0xB3</t>
  </si>
  <si>
    <t>aY5rW5rC1</t>
  </si>
  <si>
    <t>eS2aJ6oC1</t>
  </si>
  <si>
    <t>kX5cA2tV3</t>
  </si>
  <si>
    <t>tM6wJ0hX7</t>
  </si>
  <si>
    <t>tK0bK1uQ5</t>
  </si>
  <si>
    <t>xY7kK7dF3</t>
  </si>
  <si>
    <t>bN5dE3aM2</t>
  </si>
  <si>
    <t>yR7xC1aS7</t>
  </si>
  <si>
    <t>fS5jX6pH0</t>
  </si>
  <si>
    <t>wX7fY5iA3</t>
  </si>
  <si>
    <t>vG8vI7gM4</t>
  </si>
  <si>
    <t>gA1hB8tY6</t>
  </si>
  <si>
    <t>vR5cP5jC0</t>
  </si>
  <si>
    <t>tC1hC0aR3</t>
  </si>
  <si>
    <t>sI4yI5rX8</t>
  </si>
  <si>
    <t>wB0cM3rN8</t>
  </si>
  <si>
    <t>sK8lO2uR4</t>
  </si>
  <si>
    <t>fL4hS4wO5</t>
  </si>
  <si>
    <t>jV7gQ4aT5</t>
  </si>
  <si>
    <t>vV7qI6rD3</t>
  </si>
  <si>
    <t>iF2jB3iR3</t>
  </si>
  <si>
    <t>lH3nT6xK6</t>
  </si>
  <si>
    <t>tH5eF5yU4</t>
  </si>
  <si>
    <t>jR2cP8nX8</t>
  </si>
  <si>
    <t>lM1oC8mR7</t>
  </si>
  <si>
    <t>vV1gL4aH2</t>
  </si>
  <si>
    <t>vU5fN3oU6</t>
  </si>
  <si>
    <t>vE0iR5jQ3</t>
  </si>
  <si>
    <t>xW5oK2lC3</t>
  </si>
  <si>
    <t>bN1xV6iF5</t>
  </si>
  <si>
    <t>uD2iL0pJ2</t>
  </si>
  <si>
    <t>jK3cL6bX7</t>
  </si>
  <si>
    <t>jK6gM8bQ4</t>
  </si>
  <si>
    <t>hK1mV6wG4</t>
  </si>
  <si>
    <t>pA6kR0hC0</t>
  </si>
  <si>
    <t>uX0nM8sG2</t>
  </si>
  <si>
    <t>vD4lT4yV3</t>
  </si>
  <si>
    <t>cL7lK5iY3</t>
  </si>
  <si>
    <t>mM0cM5sR6</t>
  </si>
  <si>
    <t>rX2kU7wR8</t>
  </si>
  <si>
    <t>dM7gO4tH3</t>
  </si>
  <si>
    <t>jE5xE2xA5</t>
  </si>
  <si>
    <t>yC1aX1iQ3</t>
  </si>
  <si>
    <t>nE6tU5dY7</t>
  </si>
  <si>
    <t>iM5uI8uF3</t>
  </si>
  <si>
    <t>gM8pU8oM3</t>
  </si>
  <si>
    <t>nQ5uR7lJ1</t>
  </si>
  <si>
    <t>fO7wK7xD5</t>
  </si>
  <si>
    <t>rR5vB5eK6</t>
  </si>
  <si>
    <t>jB5vC3jW5</t>
  </si>
  <si>
    <t>uX7oU6vF3</t>
  </si>
  <si>
    <t>oU5mE2cR5</t>
  </si>
  <si>
    <t>kF1iE0tL7</t>
  </si>
  <si>
    <t>cY2wD1lT7</t>
  </si>
  <si>
    <t>hF1cD3lL3</t>
  </si>
  <si>
    <t>vC3bS6yI4</t>
  </si>
  <si>
    <t>sY4fB0mQ2</t>
  </si>
  <si>
    <t>oR0jD1lW6</t>
  </si>
  <si>
    <t>yI4eG6jI8</t>
  </si>
  <si>
    <t>lF8eR3bD4</t>
  </si>
  <si>
    <t>vR8jX7oQ1</t>
  </si>
  <si>
    <t>aL3rP4wG3</t>
  </si>
  <si>
    <t>yI7wQ1tO0</t>
  </si>
  <si>
    <t>jB3xL3vD3</t>
  </si>
  <si>
    <t>mS1gT8fN5</t>
  </si>
  <si>
    <t>tY8gB1oG1</t>
  </si>
  <si>
    <t>wJ0sM0oO1</t>
  </si>
  <si>
    <t>vD5oN1hX3</t>
  </si>
  <si>
    <t>wW7iQ3oO0</t>
  </si>
  <si>
    <t>fC8rC4uV6</t>
  </si>
  <si>
    <t>rH1jH1oL3</t>
  </si>
  <si>
    <t>nY1aT7sY3</t>
  </si>
  <si>
    <t>bI7dY7nB6</t>
  </si>
  <si>
    <t>iU8cO7eF8</t>
  </si>
  <si>
    <t>bJ5mM1jO2</t>
  </si>
  <si>
    <t>mP8mT6jR2</t>
  </si>
  <si>
    <t>hI5tW8iL7</t>
  </si>
  <si>
    <t>vY3lC3nN7</t>
  </si>
  <si>
    <t>cV2hE3lQ6</t>
  </si>
  <si>
    <t>hP6tX7jB8</t>
  </si>
  <si>
    <t>rG1aE4jX1</t>
  </si>
  <si>
    <t>aF8kG0rX8</t>
  </si>
  <si>
    <t>uU2mL4oO1</t>
  </si>
  <si>
    <t>mM7rT3kC0</t>
  </si>
  <si>
    <t>pP5jX2fD0</t>
  </si>
  <si>
    <t>pH8vT7kL2</t>
  </si>
  <si>
    <t>pW2hB8oY1</t>
  </si>
  <si>
    <t>cU5vD1jC1</t>
  </si>
  <si>
    <t>bE1cL3fR0</t>
  </si>
  <si>
    <t>oQ0yL4hT8</t>
  </si>
  <si>
    <t>xI6yQ8nN3</t>
  </si>
  <si>
    <t>lL5fO2bH5</t>
  </si>
  <si>
    <t>fG0xH4wU0</t>
  </si>
  <si>
    <t>jQ6qP4fH4</t>
  </si>
  <si>
    <t>lK6lG1qT1</t>
  </si>
  <si>
    <t>cH5rH1aE4</t>
  </si>
  <si>
    <t>fH4nV3dE0</t>
  </si>
  <si>
    <t>kT8vM2bU2</t>
  </si>
  <si>
    <t>eR2yM6oM1</t>
  </si>
  <si>
    <t>hP7tA1rM2</t>
  </si>
  <si>
    <t>mC4eM0vJ6</t>
  </si>
  <si>
    <t>aV1fD7vS2</t>
  </si>
  <si>
    <t>nO7kM0pK5</t>
  </si>
  <si>
    <t>hK0fL6pO7</t>
  </si>
  <si>
    <t>tR1vW7aN3</t>
  </si>
  <si>
    <t>mW7tH6lY6</t>
  </si>
  <si>
    <t>oD3oG5pM4</t>
  </si>
  <si>
    <t>rC1kD2pG1</t>
  </si>
  <si>
    <t>oB5yH3yP3</t>
  </si>
  <si>
    <t>tE0dV0hO3</t>
  </si>
  <si>
    <t>rD0qK3iW3</t>
  </si>
  <si>
    <t>yQ4cD3hD2</t>
  </si>
  <si>
    <t>qJ0hN4mO0</t>
  </si>
  <si>
    <t>aE5kJ7fY6</t>
  </si>
  <si>
    <t>jJ4gW6fN0</t>
  </si>
  <si>
    <t>tO3fX4cC5</t>
  </si>
  <si>
    <t>tA3yC1qY1</t>
  </si>
  <si>
    <t>cP2xF5rL1</t>
  </si>
  <si>
    <t>cI5jF2bI1</t>
  </si>
  <si>
    <t>eV0cD3kG7</t>
  </si>
  <si>
    <t>pM6aO5lS3</t>
  </si>
  <si>
    <t>kU7jR6kS4</t>
  </si>
  <si>
    <t>cY1rC1yC0</t>
  </si>
  <si>
    <t>uK6kE5fY5</t>
  </si>
  <si>
    <t>iR8xX2pS6</t>
  </si>
  <si>
    <t>yB7fF3xT8</t>
  </si>
  <si>
    <t>dI0kG2vV5</t>
  </si>
  <si>
    <t>jR0fM1oX4</t>
  </si>
  <si>
    <t>oN4yO7fN1</t>
  </si>
  <si>
    <t>jN6wC5rX5</t>
  </si>
  <si>
    <t>kM7vG2oI0</t>
  </si>
  <si>
    <t>bA2pT7iU0</t>
  </si>
  <si>
    <t>kW5sV8yS4</t>
  </si>
  <si>
    <t>sD3oA3nJ6</t>
  </si>
  <si>
    <t>jO7mO5tG6</t>
  </si>
  <si>
    <t>vG4fO0oI4</t>
  </si>
  <si>
    <t>gO4kJ8qT8</t>
  </si>
  <si>
    <t>tJ3vO0dU0</t>
  </si>
  <si>
    <t>pX6bG1lR1</t>
  </si>
  <si>
    <t>tS0vP8gX0</t>
  </si>
  <si>
    <t>fP0mN2wT3</t>
  </si>
  <si>
    <t>rC7pG0iW8</t>
  </si>
  <si>
    <t>eO4uD0aH0</t>
  </si>
  <si>
    <t>rG0rT7jN3</t>
  </si>
  <si>
    <t>jX3jT0kF6</t>
  </si>
  <si>
    <t>sA7fF4mA6</t>
  </si>
  <si>
    <t>qW6pT5xC4</t>
  </si>
  <si>
    <t>oF3uO3dS8</t>
  </si>
  <si>
    <t>iT1qD1fL7</t>
  </si>
  <si>
    <t>uV8nB1gJ0</t>
  </si>
  <si>
    <t>oF7vD8nW1</t>
  </si>
  <si>
    <t>rX2kT8nB0</t>
  </si>
  <si>
    <t>sR8dX8nP6</t>
  </si>
  <si>
    <t>iX7dB8tH0</t>
  </si>
  <si>
    <t>tI0lE7wI7</t>
  </si>
  <si>
    <t>lM0lV0jI8</t>
  </si>
  <si>
    <t>bO8mR8pH7</t>
  </si>
  <si>
    <t>uI4wA1dD8</t>
  </si>
  <si>
    <t>kL1kF6qT6</t>
  </si>
  <si>
    <t>mQ8dY5sO8</t>
  </si>
  <si>
    <t>xX1aO0oA3</t>
  </si>
  <si>
    <t>jG6tA5xH7</t>
  </si>
  <si>
    <t>hI1hJ7oA6</t>
  </si>
  <si>
    <t>rG6iL5sT0</t>
  </si>
  <si>
    <t>rD4hF2yJ3</t>
  </si>
  <si>
    <t>cB0uR2jQ5</t>
  </si>
  <si>
    <t>uD6hP2rK5</t>
  </si>
  <si>
    <t>bM3hJ0gP8</t>
  </si>
  <si>
    <t>rP6uE1kG8</t>
  </si>
  <si>
    <t>cQ8aB8nP4</t>
  </si>
  <si>
    <t>iE3pS1sI4</t>
  </si>
  <si>
    <t>bK7nD3lG4</t>
  </si>
  <si>
    <t>rP2uY5jJ7</t>
  </si>
  <si>
    <t>cX5yA8xK3</t>
  </si>
  <si>
    <t>gB2jK8uW5</t>
  </si>
  <si>
    <t>xR0jB7vW4</t>
  </si>
  <si>
    <t>uH5mR7gB5</t>
  </si>
  <si>
    <t>vW4gA3nF6</t>
  </si>
  <si>
    <t>oH0kF4wT7</t>
  </si>
  <si>
    <t>rA8pP8pH2</t>
  </si>
  <si>
    <t>mL4uD3iM3</t>
  </si>
  <si>
    <t>oF2cP4gE3</t>
  </si>
  <si>
    <t>sS5vP3oL4</t>
  </si>
  <si>
    <t>tY8pO6wI0</t>
  </si>
  <si>
    <t>qV4vE2wB3</t>
  </si>
  <si>
    <t>lP8jK5oA7</t>
  </si>
  <si>
    <t>kB3aX2bG0</t>
  </si>
  <si>
    <t>uU3sK3cN0</t>
  </si>
  <si>
    <t>cJ8mV4vA7</t>
  </si>
  <si>
    <t>bD7dY3jA2</t>
  </si>
  <si>
    <t>qI6gS4hF4</t>
  </si>
  <si>
    <t>wD0dE2rA6</t>
  </si>
  <si>
    <t>nO0vR4mF2</t>
  </si>
  <si>
    <t>yP4sO8rY2</t>
  </si>
  <si>
    <t>uK6sQ0jW0</t>
  </si>
  <si>
    <t>yI8uI5tX1</t>
  </si>
  <si>
    <t>aO7xM4uT1</t>
  </si>
  <si>
    <t>lU7rR8lT7</t>
  </si>
  <si>
    <t>dD7eO8dG8</t>
  </si>
  <si>
    <t>pV8wB6xG1</t>
  </si>
  <si>
    <t>bA4iJ2bM4</t>
  </si>
  <si>
    <t>nD0mK5eC7</t>
  </si>
  <si>
    <t>wR6hD6jP6</t>
  </si>
  <si>
    <t>hP1dB3wR3</t>
  </si>
  <si>
    <t>mE6dI4uI0</t>
  </si>
  <si>
    <t>vA8dH2nP3</t>
  </si>
  <si>
    <t>vM7iM7wD2</t>
  </si>
  <si>
    <t>uH3oG1bE4</t>
  </si>
  <si>
    <t>hI7rW6yJ3</t>
  </si>
  <si>
    <t>oB4eN7dF1</t>
  </si>
  <si>
    <t>qG7sA0fM7</t>
  </si>
  <si>
    <t>lE1dY8gY6</t>
  </si>
  <si>
    <t>uC5wJ0rW0</t>
  </si>
  <si>
    <t>wP8oQ5pP5</t>
  </si>
  <si>
    <t>tH2yS1jG1</t>
  </si>
  <si>
    <t>qV0qC7nN4</t>
  </si>
  <si>
    <t>jI5kY8wM2</t>
  </si>
  <si>
    <t>fC7dB0jO3</t>
  </si>
  <si>
    <t>pN7jA5nE8</t>
  </si>
  <si>
    <t>qS5rW7aA0</t>
  </si>
  <si>
    <t>cB5jC1cE2</t>
  </si>
  <si>
    <t>bP7lY0rP8</t>
  </si>
  <si>
    <t>yU6eJ2gD1</t>
  </si>
  <si>
    <t>tX5uB8sC3</t>
  </si>
  <si>
    <t>xK5xP0dR6</t>
  </si>
  <si>
    <t>rG3eO4iN8</t>
  </si>
  <si>
    <t>wK1bP1cG8</t>
  </si>
  <si>
    <t>wN4jR7iD6</t>
  </si>
  <si>
    <t>uC2xR4gS4</t>
  </si>
  <si>
    <t>qT4bN1qR8</t>
  </si>
  <si>
    <t>rK3dD8dB0</t>
  </si>
  <si>
    <t>xW4nT4aE6</t>
  </si>
  <si>
    <t>yE6cF0qT4</t>
  </si>
  <si>
    <t>xY3jG7bV2</t>
  </si>
  <si>
    <t>kE2yJ5cI0</t>
  </si>
  <si>
    <t>qL5oH6gF5</t>
  </si>
  <si>
    <t>oO7xN5qO2</t>
  </si>
  <si>
    <t>gK5mS7oJ0</t>
  </si>
  <si>
    <t>nV8iE3rV2</t>
  </si>
  <si>
    <t>yC1sO8lV4</t>
  </si>
  <si>
    <t>eN7xT2lV8</t>
  </si>
  <si>
    <t>eX8qG7wG3</t>
  </si>
  <si>
    <t>nT6wP7jN2</t>
  </si>
  <si>
    <t>nP4uS8aW8</t>
  </si>
  <si>
    <t>gE6wN4vM8</t>
  </si>
  <si>
    <t>jD0aS8iI4</t>
  </si>
  <si>
    <t>tH3sY8kG0</t>
  </si>
  <si>
    <t>fQ0pG7oA0</t>
  </si>
  <si>
    <t>xA5aA5eN5</t>
  </si>
  <si>
    <t>pP5sD8xC5</t>
  </si>
  <si>
    <t>vL1nX5jD2</t>
  </si>
  <si>
    <t>eX5tM4tD8</t>
  </si>
  <si>
    <t>eS0xR7lV4</t>
  </si>
  <si>
    <t>cI0pE3tG8</t>
  </si>
  <si>
    <t>nE8qL5wA7</t>
  </si>
  <si>
    <t>tQ0rW8nO5</t>
  </si>
  <si>
    <t>xW2mA6kJ2</t>
  </si>
  <si>
    <t>mH1mL0wL4</t>
  </si>
  <si>
    <t>kR1lM8vH0</t>
  </si>
  <si>
    <t>oJ5gM6kT3</t>
  </si>
  <si>
    <t>pI8sE8oI1</t>
  </si>
  <si>
    <t>pE1fH2wX2</t>
  </si>
  <si>
    <t>kG2pJ1sN8</t>
  </si>
  <si>
    <t>iD5uP6kV7</t>
  </si>
  <si>
    <t>sD4pO2cU3</t>
  </si>
  <si>
    <t>nF8oV0oG8</t>
  </si>
  <si>
    <t>jL5dM1iQ0</t>
  </si>
  <si>
    <t>xX1jP1qH4</t>
  </si>
  <si>
    <t>vN4gV3hK2</t>
  </si>
  <si>
    <t>pU2uA4nR5</t>
  </si>
  <si>
    <t>qM8xE7gF7</t>
  </si>
  <si>
    <t>gO4uB1oD2</t>
  </si>
  <si>
    <t>uB7rQ6nP5</t>
  </si>
  <si>
    <t>qN0oW1kA4</t>
  </si>
  <si>
    <t>dY4yI6jS8</t>
  </si>
  <si>
    <t>nB7xN0sD1</t>
  </si>
  <si>
    <t>nW2bF7qA0</t>
  </si>
  <si>
    <t>dJ7nA7qC2</t>
  </si>
  <si>
    <t>iU5nL2mQ8</t>
  </si>
  <si>
    <t>tP3oD3vG5</t>
  </si>
  <si>
    <t>uX5cV6jV2</t>
  </si>
  <si>
    <t>mC4sP5lL7</t>
  </si>
  <si>
    <t>wF0rT8yO7</t>
  </si>
  <si>
    <t>gU8gD3eH0</t>
  </si>
  <si>
    <t>mN3jE4oQ8</t>
  </si>
  <si>
    <t>dU2wW0xO1</t>
  </si>
  <si>
    <t>hS7fD5xO0</t>
  </si>
  <si>
    <t>xG0pE7jO4</t>
  </si>
  <si>
    <t>qS7iY8wQ1</t>
  </si>
  <si>
    <t>vP3kR4qC0</t>
  </si>
  <si>
    <t>nU5pA3sD4</t>
  </si>
  <si>
    <t>pB5lD5pG8</t>
  </si>
  <si>
    <t>eT1vL6wF2</t>
  </si>
  <si>
    <t>rP7dG0wV6</t>
  </si>
  <si>
    <t>kB8bW5tF3</t>
  </si>
  <si>
    <t>lK5fV6qU7</t>
  </si>
  <si>
    <t>iV4mW7aI3</t>
  </si>
  <si>
    <t>fL6kW4nS4</t>
  </si>
  <si>
    <t>lQ1nY8nK8</t>
  </si>
  <si>
    <t>uF0fU8fB4</t>
  </si>
  <si>
    <t>wT2lW8mK7</t>
  </si>
  <si>
    <t>fQ3mH6kJ2</t>
  </si>
  <si>
    <t>iF2yP8sL8</t>
  </si>
  <si>
    <t>fX0cC7bV8</t>
  </si>
  <si>
    <t>vX2aB7kT4</t>
  </si>
  <si>
    <t>qF7rF3vF4</t>
  </si>
  <si>
    <t>wA2sV1kK3</t>
  </si>
  <si>
    <t>xJ1kL6uR8</t>
  </si>
  <si>
    <t>oU7rV1lG1</t>
  </si>
  <si>
    <t>qG2rH4nY5</t>
  </si>
  <si>
    <t>sG4lE0wL5</t>
  </si>
  <si>
    <t>eS4iI1bI5</t>
  </si>
  <si>
    <t>gN4wU6wW0</t>
  </si>
  <si>
    <t>gN5jW4uU0</t>
  </si>
  <si>
    <t>qE8nX7lP4</t>
  </si>
  <si>
    <t>qD8oF2tS6</t>
  </si>
  <si>
    <t>vW4uH3uA7</t>
  </si>
  <si>
    <t>gN4oU6hI4</t>
  </si>
  <si>
    <t>kD6pW5uR3</t>
  </si>
  <si>
    <t>oF5eA2cU1</t>
  </si>
  <si>
    <t>pL5lE4uA0</t>
  </si>
  <si>
    <t>rW4wS7yT5</t>
  </si>
  <si>
    <t>tI7jW4wE7</t>
  </si>
  <si>
    <t>iU4cK3uS3</t>
  </si>
  <si>
    <t>jX8xF1vG7</t>
  </si>
  <si>
    <t>bP1iD5uB3</t>
  </si>
  <si>
    <t>cG1yS8nV7</t>
  </si>
  <si>
    <t>hA6sH7cR8</t>
  </si>
  <si>
    <t>wN0pE7bN4</t>
  </si>
  <si>
    <t>cW1uI0aQ8</t>
  </si>
  <si>
    <t>qG8tV7fA5</t>
  </si>
  <si>
    <t>qK0cR1dC3</t>
  </si>
  <si>
    <t>fR1lP6qC0</t>
  </si>
  <si>
    <t>qT1uI6aI7</t>
  </si>
  <si>
    <t>hX8hF7aV7</t>
  </si>
  <si>
    <t>mS3kB2sD7</t>
  </si>
  <si>
    <t>sG1mJ6yV4</t>
  </si>
  <si>
    <t>cO1pP5aX3</t>
  </si>
  <si>
    <t>eO8uM6aY7</t>
  </si>
  <si>
    <t>eJ2oW8uX2</t>
  </si>
  <si>
    <t>bV2yF6aB6</t>
  </si>
  <si>
    <t>oG8pH6uY0</t>
  </si>
  <si>
    <t>gH4mY3xU2</t>
  </si>
  <si>
    <t>rO2eI4iG7</t>
  </si>
  <si>
    <t>oE4bX0cP5</t>
  </si>
  <si>
    <t>gB2jQ1yB3</t>
  </si>
  <si>
    <t>nD4dJ4sS6</t>
  </si>
  <si>
    <t>bM1sT0hD5</t>
  </si>
  <si>
    <t>oJ2hD4oG2</t>
  </si>
  <si>
    <t>pB2wR8sD6</t>
  </si>
  <si>
    <t>wL2nT7cQ4</t>
  </si>
  <si>
    <t>lR6fI6kU0</t>
  </si>
  <si>
    <t>xD2hU6uJ4</t>
  </si>
  <si>
    <t>nL3iD8uW2</t>
  </si>
  <si>
    <t>xN4yM3aP3</t>
  </si>
  <si>
    <t>gY0oF4mK5</t>
  </si>
  <si>
    <t>aY6dK8wO1</t>
  </si>
  <si>
    <t>iJ3gT4gN5</t>
  </si>
  <si>
    <t>sA2dS2uS6</t>
  </si>
  <si>
    <t>tY8aI7jU7</t>
  </si>
  <si>
    <t>eB5yF3kG7</t>
  </si>
  <si>
    <t>bX3dP5fX5</t>
  </si>
  <si>
    <t>jD3eU0lK4</t>
  </si>
  <si>
    <t>sO5aB0aM0</t>
  </si>
  <si>
    <t>jM4rA8fD1</t>
  </si>
  <si>
    <t>oJ5jL5wI0</t>
  </si>
  <si>
    <t>mQ4pF6oS4</t>
  </si>
  <si>
    <t>lN2qH0wL5</t>
  </si>
  <si>
    <t>oK0qX0uG7</t>
  </si>
  <si>
    <t>iS6qA1rS4</t>
  </si>
  <si>
    <t>sA3eR0yD2</t>
  </si>
  <si>
    <t>aX7uD2fT6</t>
  </si>
  <si>
    <t>iQ1kM8yC5</t>
  </si>
  <si>
    <t>pK6uC8iG7</t>
  </si>
  <si>
    <t>uN0jS7yM8</t>
  </si>
  <si>
    <t>rB0iV2fO0</t>
  </si>
  <si>
    <t>bI7qR6hX2</t>
  </si>
  <si>
    <t>wU0qY5oK5</t>
  </si>
  <si>
    <t>aA0iF1kH7</t>
  </si>
  <si>
    <t>wI0oU8cU3</t>
  </si>
  <si>
    <t>dI3wB1kC6</t>
  </si>
  <si>
    <t>iH5kN0hY6</t>
  </si>
  <si>
    <t>dE8gK1vW4</t>
  </si>
  <si>
    <t>qP7sR2cS0</t>
  </si>
  <si>
    <t>eL8bS5bE8</t>
  </si>
  <si>
    <t>wU3tD5sR4</t>
  </si>
  <si>
    <t>bK6pO5pQ1</t>
  </si>
  <si>
    <t>kO5yJ1lW8</t>
  </si>
  <si>
    <t>aI4pJ6kL8</t>
  </si>
  <si>
    <t>vN7rY1oH5</t>
  </si>
  <si>
    <t>gR8iX5gX1</t>
  </si>
  <si>
    <t>rP5fO6oJ5</t>
  </si>
  <si>
    <t>cB1hK4sV3</t>
  </si>
  <si>
    <t>mI3dH0nB4</t>
  </si>
  <si>
    <t>oG2iX2sC3</t>
  </si>
  <si>
    <t>vI7rI1dV1</t>
  </si>
  <si>
    <t>gL6rC0nE2</t>
  </si>
  <si>
    <t>mY6eC5iD1</t>
  </si>
  <si>
    <t>bS1lQ6oY6</t>
  </si>
  <si>
    <t>gX3lW0oV2</t>
  </si>
  <si>
    <t>dC5fC4nD3</t>
  </si>
  <si>
    <t>hW1qD1nF7</t>
  </si>
  <si>
    <t>qT8fR8rU2</t>
  </si>
  <si>
    <t>qF1aJ4dP3</t>
  </si>
  <si>
    <t>wN8hN3mR7</t>
  </si>
  <si>
    <t>rH8tS2vI2</t>
  </si>
  <si>
    <t>bC1eP6uP1</t>
  </si>
  <si>
    <t>dR0fT8hE3</t>
  </si>
  <si>
    <t>iG6pH0qY1</t>
  </si>
  <si>
    <t>kY6lM8aL7</t>
  </si>
  <si>
    <t>lY7oS1dV6</t>
  </si>
  <si>
    <t>kC8dN3uJ4</t>
  </si>
  <si>
    <t>pQ2tD7gE1</t>
  </si>
  <si>
    <t>jU8dG8jR7</t>
  </si>
  <si>
    <t>yT4hX3fI6</t>
  </si>
  <si>
    <t>uH4qJ5bW7</t>
  </si>
  <si>
    <t>mL1fD0wL8</t>
  </si>
  <si>
    <t>gV4cY2lE1</t>
  </si>
  <si>
    <t>iG2bW8dW1</t>
  </si>
  <si>
    <t>wN3dA8tS5</t>
  </si>
  <si>
    <t>bV8bR5kP2</t>
  </si>
  <si>
    <t>nV1vX8oG1</t>
  </si>
  <si>
    <t>wJ1pI0rJ4</t>
  </si>
  <si>
    <t>hP8nV6hN0</t>
  </si>
  <si>
    <t>fJ6oP3yQ3</t>
  </si>
  <si>
    <t>yI4pP6fR0</t>
  </si>
  <si>
    <t>kW6cQ6bT1</t>
  </si>
  <si>
    <t>eF1eA8mP7</t>
  </si>
  <si>
    <t>lF5vP5gK4</t>
  </si>
  <si>
    <t>dG7dE4wM6</t>
  </si>
  <si>
    <t>qB4dU4mY1</t>
  </si>
  <si>
    <t>nN5tH0eD4</t>
  </si>
  <si>
    <t>dP5mK4oY7</t>
  </si>
  <si>
    <t>hD2mA0xL8</t>
  </si>
  <si>
    <t>hG4fN4oQ5</t>
  </si>
  <si>
    <t>yM0tQ1cM3</t>
  </si>
  <si>
    <t>cE1kC1yB2</t>
  </si>
  <si>
    <t>jK3iK6vV8</t>
  </si>
  <si>
    <t>eT5dD0iP3</t>
  </si>
  <si>
    <t>mV2sS0kB7</t>
  </si>
  <si>
    <t>yN6hI8hB0</t>
  </si>
  <si>
    <t>pU7tB3rE1</t>
  </si>
  <si>
    <t>dH7jR2xP6</t>
  </si>
  <si>
    <t>dD5eN3xV5</t>
  </si>
  <si>
    <t>rD2dC3oK4</t>
  </si>
  <si>
    <t>bA6mM3rH7</t>
  </si>
  <si>
    <t>hB5uT3pX0</t>
  </si>
  <si>
    <t>bC8aF0wH7</t>
  </si>
  <si>
    <t>tE4sP7lH7</t>
  </si>
  <si>
    <t>uA0uY2cD0</t>
  </si>
  <si>
    <t>xV4pS8uO0</t>
  </si>
  <si>
    <t>yK6mK4tU7</t>
  </si>
  <si>
    <t>oO4iN3rJ8</t>
  </si>
  <si>
    <t>cU8yI6rM8</t>
  </si>
  <si>
    <t>qE7sI3rV2</t>
  </si>
  <si>
    <t>mP0mF6qB0</t>
  </si>
  <si>
    <t>sC1gO2hS2</t>
  </si>
  <si>
    <t>oR2tE0xP6</t>
  </si>
  <si>
    <t>hD4aQ1yD1</t>
  </si>
  <si>
    <t>pB0mU8jE6</t>
  </si>
  <si>
    <t>gP0hL2rN7</t>
  </si>
  <si>
    <t>uM3vK3eH5</t>
  </si>
  <si>
    <t>kO1nE8vL8</t>
  </si>
  <si>
    <t>iS8cP4mX3</t>
  </si>
  <si>
    <t>kQ7sH6wC6</t>
  </si>
  <si>
    <t>tA7wV6yD3</t>
  </si>
  <si>
    <t>uG7uQ4gY1</t>
  </si>
  <si>
    <t>yW2mC7nA3</t>
  </si>
  <si>
    <t>lN2nB6hJ0</t>
  </si>
  <si>
    <t>jO5qV0eD8</t>
  </si>
  <si>
    <t>fI4iN3lJ5</t>
  </si>
  <si>
    <t>yI2pB7nE5</t>
  </si>
  <si>
    <t>jG1gX5tO8</t>
  </si>
  <si>
    <t>tH6bJ4pV1</t>
  </si>
  <si>
    <t>xX8qE5jO7</t>
  </si>
  <si>
    <t>pI7fL2hA2</t>
  </si>
  <si>
    <t>mP3vR0oX6</t>
  </si>
  <si>
    <t>mO0mF6dE5</t>
  </si>
  <si>
    <t>eX0aE4hJ5</t>
  </si>
  <si>
    <t>kO8fX2fV3</t>
  </si>
  <si>
    <t>lK0dG6qE1</t>
  </si>
  <si>
    <t>yH6iD0aS8</t>
  </si>
  <si>
    <t>sO1eF8nC0</t>
  </si>
  <si>
    <t>qN4eB2tQ2</t>
  </si>
  <si>
    <t>oG6fV0rC1</t>
  </si>
  <si>
    <t>rY8dS1cX7</t>
  </si>
  <si>
    <t>iT4pE2aD5</t>
  </si>
  <si>
    <t>jO4fD7xK1</t>
  </si>
  <si>
    <t>pO2sK0lE8</t>
  </si>
  <si>
    <t>qI3wR6bX3</t>
  </si>
  <si>
    <t>eO3iQ4pS1</t>
  </si>
  <si>
    <t>vK7nR0wV0</t>
  </si>
  <si>
    <t>pK3aH0hD5</t>
  </si>
  <si>
    <t>hL7hL2dN8</t>
  </si>
  <si>
    <t>nG7yR6gU7</t>
  </si>
  <si>
    <t>wP0dO0nL4</t>
  </si>
  <si>
    <t>dP5rE8xG4</t>
  </si>
  <si>
    <t>eO4sS7yR7</t>
  </si>
  <si>
    <t>nC2jR7vG8</t>
  </si>
  <si>
    <t>oY0sG1uS4</t>
  </si>
  <si>
    <t>oC2mG4nE0</t>
  </si>
  <si>
    <t>iO1nJ7xK5</t>
  </si>
  <si>
    <t>rU3nO1bH0</t>
  </si>
  <si>
    <t>cD7xT3kA7</t>
  </si>
  <si>
    <t>cS4sP5fC0</t>
  </si>
  <si>
    <t>xL7yF1kG0</t>
  </si>
  <si>
    <t>yQ7qB5fX7</t>
  </si>
  <si>
    <t>jT7hV8dV8</t>
  </si>
  <si>
    <t>rE1nL1dT0</t>
  </si>
  <si>
    <t>pP3vB4rV0</t>
  </si>
  <si>
    <t>mA1fF1iO2</t>
  </si>
  <si>
    <t>jS4fD1eM2</t>
  </si>
  <si>
    <t>rB8fA4lO3</t>
  </si>
  <si>
    <t>cQ5eF1mG0</t>
  </si>
  <si>
    <t>hH4oG8gU1</t>
  </si>
  <si>
    <t>tF8aV6yE7</t>
  </si>
  <si>
    <t>fL0sJ7dN5</t>
  </si>
  <si>
    <t>vE6tN8yU7</t>
  </si>
  <si>
    <t>dC2tX4cM3</t>
  </si>
  <si>
    <t>bK8kB7nC5</t>
  </si>
  <si>
    <t>lL4gI8oK1</t>
  </si>
  <si>
    <t>tO4oR7rL3</t>
  </si>
  <si>
    <t>sF6kA0rI7</t>
  </si>
  <si>
    <t>aC8lK7qW2</t>
  </si>
  <si>
    <t>wJ2tO2fT7</t>
  </si>
  <si>
    <t>qW0cL5xM2</t>
  </si>
  <si>
    <t>bD2kX7gA6</t>
  </si>
  <si>
    <t>vX5iH4nG7</t>
  </si>
  <si>
    <t>hQ8uI1wV3</t>
  </si>
  <si>
    <t>tJ6uY6jW0</t>
  </si>
  <si>
    <t>qS2uE7rI2</t>
  </si>
  <si>
    <t>mM6pS0qE1</t>
  </si>
  <si>
    <t>vK7aM6dW6</t>
  </si>
  <si>
    <t>vD3sX1kR8</t>
  </si>
  <si>
    <t>iQ7xC8oR0</t>
  </si>
  <si>
    <t>cJ8qD8uQ4</t>
  </si>
  <si>
    <t>tF3lA3yG0</t>
  </si>
  <si>
    <t>aI5yA2sY2</t>
  </si>
  <si>
    <t>uQ8bD4pY2</t>
  </si>
  <si>
    <t>lU8aT1jG0</t>
  </si>
  <si>
    <t>yS0rI6dU6</t>
  </si>
  <si>
    <t>tY3rB1tW2</t>
  </si>
  <si>
    <t>uB1hM4oM0</t>
  </si>
  <si>
    <t>cS5eW3oR0</t>
  </si>
  <si>
    <t>jB5lD1yB0</t>
  </si>
  <si>
    <t>oE0tL5yX0</t>
  </si>
  <si>
    <t>gY4pT3bR5</t>
  </si>
  <si>
    <t>wT4hY2xQ6</t>
  </si>
  <si>
    <t>yM8pJ1qQ7</t>
  </si>
  <si>
    <t>aN0eM7aD2</t>
  </si>
  <si>
    <t>yY7kB5pM6</t>
  </si>
  <si>
    <t>aX7jJ2mP2</t>
  </si>
  <si>
    <t>yV5aV0vF0</t>
  </si>
  <si>
    <t>bN2sT2eH4</t>
  </si>
  <si>
    <t>lM1cA2xA6</t>
  </si>
  <si>
    <t>iO1hY8yV0</t>
  </si>
  <si>
    <t>kL8yV8nB8</t>
  </si>
  <si>
    <t>qC6uE6rJ2</t>
  </si>
  <si>
    <t>lU5rF0kD8</t>
  </si>
  <si>
    <t>dR7qD0xF0</t>
  </si>
  <si>
    <t>bG3kQ0wW1</t>
  </si>
  <si>
    <t>aD7lO2qS2</t>
  </si>
  <si>
    <t>rD8rM5mK7</t>
  </si>
  <si>
    <t>sD1gC8rT3</t>
  </si>
  <si>
    <t>tB1eM8nK5</t>
  </si>
  <si>
    <t>oH3wA1xM1</t>
  </si>
  <si>
    <t>qX1xN5iN4</t>
  </si>
  <si>
    <t>wC5rB8vQ0</t>
  </si>
  <si>
    <t>oD8pU2pM0</t>
  </si>
  <si>
    <t>rF2nB3gE0</t>
  </si>
  <si>
    <t>cX1bU4hB5</t>
  </si>
  <si>
    <t>fD4iY7qH4</t>
  </si>
  <si>
    <t>nN7bJ4sL1</t>
  </si>
  <si>
    <t>tS7rK7xE2</t>
  </si>
  <si>
    <t>tM2iN3tF6</t>
  </si>
  <si>
    <t>aG1bP8qH1</t>
  </si>
  <si>
    <t>oB6kS1wS0</t>
  </si>
  <si>
    <t>uL7nI8oN6</t>
  </si>
  <si>
    <t>mP8aP3cH0</t>
  </si>
  <si>
    <t>qX0lG2lC1</t>
  </si>
  <si>
    <t>sA2eH4pI1</t>
  </si>
  <si>
    <t>gK8kC5vY0</t>
  </si>
  <si>
    <t>cT5gF3wX5</t>
  </si>
  <si>
    <t>rU3cK2yO8</t>
  </si>
  <si>
    <t>wH6qY3lA6</t>
  </si>
  <si>
    <t>tG8lC8sE4</t>
  </si>
  <si>
    <t>mG4eG4wX5</t>
  </si>
  <si>
    <t>tF3xU5xS1</t>
  </si>
  <si>
    <t>gM4eT4jF7</t>
  </si>
  <si>
    <t>nY1cB7sK3</t>
  </si>
  <si>
    <t>eG3wK4sR8</t>
  </si>
  <si>
    <t>oY6dC1wG4</t>
  </si>
  <si>
    <t>kS2tA4bT6</t>
  </si>
  <si>
    <t>hW8bR4fT2</t>
  </si>
  <si>
    <t>jH0kN1iN5</t>
  </si>
  <si>
    <t>gA8sA8vI5</t>
  </si>
  <si>
    <t>dD6kS5bD6</t>
  </si>
  <si>
    <t>qW6gM5pU1</t>
  </si>
  <si>
    <t>fM1kN8oG4</t>
  </si>
  <si>
    <t>tH1mK4xX6</t>
  </si>
  <si>
    <t>jX5yH4wY5</t>
  </si>
  <si>
    <t>aA5bB4xG5</t>
  </si>
  <si>
    <t>iT7bB6bE7</t>
  </si>
  <si>
    <t>eW6aU0kS4</t>
  </si>
  <si>
    <t>sQ4iY0fM8</t>
  </si>
  <si>
    <t>vS2eW1gJ6</t>
  </si>
  <si>
    <t>cE7pR4uD3</t>
  </si>
  <si>
    <t>nU1bN2pQ6</t>
  </si>
  <si>
    <t>vU5uW6vB0</t>
  </si>
  <si>
    <t>jS3rP0qA3</t>
  </si>
  <si>
    <t>nC1cW7pA8</t>
  </si>
  <si>
    <t>iG6wV0oL1</t>
  </si>
  <si>
    <t>qE8dM0bY2</t>
  </si>
  <si>
    <t>sP4eP4nX2</t>
  </si>
  <si>
    <t>nE6fP4hC7</t>
  </si>
  <si>
    <t>xP5vB0hY0</t>
  </si>
  <si>
    <t>wF5aS7bS0</t>
  </si>
  <si>
    <t>hL7bJ8dE3</t>
  </si>
  <si>
    <t>xK4jA7fS6</t>
  </si>
  <si>
    <t>vF2nM0cD0</t>
  </si>
  <si>
    <t>jO2pP8vD1</t>
  </si>
  <si>
    <t>jX7qA3dW0</t>
  </si>
  <si>
    <t>wA2mI6xO8</t>
  </si>
  <si>
    <t>fI3iT0tQ4</t>
  </si>
  <si>
    <t>tO8dV6gB0</t>
  </si>
  <si>
    <t>eE8eL4jQ6</t>
  </si>
  <si>
    <t>jD5mU1lN3</t>
  </si>
  <si>
    <t>gQ8fY0yC8</t>
  </si>
  <si>
    <t>qF1yB4rM3</t>
  </si>
  <si>
    <t>tY4oL7cS3</t>
  </si>
  <si>
    <t>oM1cN6jE8</t>
  </si>
  <si>
    <t>hL5dL0sG8</t>
  </si>
  <si>
    <t>cE0cH6qB5</t>
  </si>
  <si>
    <t>mG4aB7nG2</t>
  </si>
  <si>
    <t>aE4hJ7jW3</t>
  </si>
  <si>
    <t>bF6eJ7kI6</t>
  </si>
  <si>
    <t>uW8dH4uR2</t>
  </si>
  <si>
    <t>qM8oN3kT1</t>
  </si>
  <si>
    <t>uM0wL4sJ6</t>
  </si>
  <si>
    <t>wD6dR3kF8</t>
  </si>
  <si>
    <t>hV5xH4pH0</t>
  </si>
  <si>
    <t>nW1aR4gI4</t>
  </si>
  <si>
    <t>iJ8vA2sO1</t>
  </si>
  <si>
    <t>wE7fP8eV1</t>
  </si>
  <si>
    <t>lU5aN1dT2</t>
  </si>
  <si>
    <t>gF2aS0uX7</t>
  </si>
  <si>
    <t>dF8gO7pH7</t>
  </si>
  <si>
    <t>xK1bK3nT8</t>
  </si>
  <si>
    <t>jB6vP3gC2</t>
  </si>
  <si>
    <t>mX4yG0oM0</t>
  </si>
  <si>
    <t>uX6xD0cY8</t>
  </si>
  <si>
    <t>kM2mX8pP7</t>
  </si>
  <si>
    <t>dC8xL3yS8</t>
  </si>
  <si>
    <t>qJ4gS6pW7</t>
  </si>
  <si>
    <t>oC7uF3dV7</t>
  </si>
  <si>
    <t>vG0lD3cC5</t>
  </si>
  <si>
    <t>dX3lS1fO2</t>
  </si>
  <si>
    <t>sO3fE7iG6</t>
  </si>
  <si>
    <t>oQ0mF5kM8</t>
  </si>
  <si>
    <t>pS5tG8bN4</t>
  </si>
  <si>
    <t>yQ7sF3uA6</t>
  </si>
  <si>
    <t>sU5eU6wK8</t>
  </si>
  <si>
    <t>tW1cN3eR6</t>
  </si>
  <si>
    <t>wP2gO7cP6</t>
  </si>
  <si>
    <t>hO6tO1fK0</t>
  </si>
  <si>
    <t>hD1yJ2nX3</t>
  </si>
  <si>
    <t>fK1xQ2vN7</t>
  </si>
  <si>
    <t>iP0dK5kM4</t>
  </si>
  <si>
    <t>iB4wP5aH0</t>
  </si>
  <si>
    <t>sO3lS6uV5</t>
  </si>
  <si>
    <t>bK6qR7uP1</t>
  </si>
  <si>
    <t>pE8qL0oJ1</t>
  </si>
  <si>
    <t>vD8xF0wT1</t>
  </si>
  <si>
    <t>sM6lL2mW5</t>
  </si>
  <si>
    <t>aX2iB8bH4</t>
  </si>
  <si>
    <t>sD1iE2dN1</t>
  </si>
  <si>
    <t>aO6tQ5tK2</t>
  </si>
  <si>
    <t>cE0iB3qA0</t>
  </si>
  <si>
    <t>yA3lB4bI6</t>
  </si>
  <si>
    <t>wN4sD7iI5</t>
  </si>
  <si>
    <t>dO5gM8nN6</t>
  </si>
  <si>
    <t>aR8bP1oA2</t>
  </si>
  <si>
    <t>bB5lU2dI5</t>
  </si>
  <si>
    <t>hE1fE8vM2</t>
  </si>
  <si>
    <t>eY5uX3rW1</t>
  </si>
  <si>
    <t>uL4sO5sW3</t>
  </si>
  <si>
    <t>jQ2qH3lW6</t>
  </si>
  <si>
    <t>aB8qL1pA8</t>
  </si>
  <si>
    <t>vF0lE7wK6</t>
  </si>
  <si>
    <t>uD0hB3sN7</t>
  </si>
  <si>
    <t>yW4hP3iL1</t>
  </si>
  <si>
    <t>wN8eW4dM0</t>
  </si>
  <si>
    <t>rJ1hX4xX0</t>
  </si>
  <si>
    <t>jF8mL8yV4</t>
  </si>
  <si>
    <t>wJ1lU0yI6</t>
  </si>
  <si>
    <t>iF2iJ8pC2</t>
  </si>
  <si>
    <t>aB1cA4mN0</t>
  </si>
  <si>
    <t>qG0fS4mO5</t>
  </si>
  <si>
    <t>xQ2gD2qU3</t>
  </si>
  <si>
    <t>hH8pA7eG0</t>
  </si>
  <si>
    <t>mL1lO5gM4</t>
  </si>
  <si>
    <t>lG2gF1wQ1</t>
  </si>
  <si>
    <t>qE1aG2iB2</t>
  </si>
  <si>
    <t>jV1wC6xA7</t>
  </si>
  <si>
    <t>yY5wN2xU0</t>
  </si>
  <si>
    <t>hA8rW3qB2</t>
  </si>
  <si>
    <t>eP5tN0oK7</t>
  </si>
  <si>
    <t>uL8wX3qK2</t>
  </si>
  <si>
    <t>cW6wG5iO4</t>
  </si>
  <si>
    <t>eT6gM8lI5</t>
  </si>
  <si>
    <t>pK6vK5sV2</t>
  </si>
  <si>
    <t>lG7wS5jQ7</t>
  </si>
  <si>
    <t>yW1qF3aM7</t>
  </si>
  <si>
    <t>nQ8qK1uI1</t>
  </si>
  <si>
    <t>yS8bU4jX1</t>
  </si>
  <si>
    <t>kK3bI6xS7</t>
  </si>
  <si>
    <t>cV6nF4uD3</t>
  </si>
  <si>
    <t>jT3lH6sB1</t>
  </si>
  <si>
    <t>fU4sW5oQ5</t>
  </si>
  <si>
    <t>pN0cG7hX7</t>
  </si>
  <si>
    <t>mK4aV8kI1</t>
  </si>
  <si>
    <t>pT2bH6tV8</t>
  </si>
  <si>
    <t>vX0lF3fA0</t>
  </si>
  <si>
    <t>aJ8uK6qS7</t>
  </si>
  <si>
    <t>tR5lI3qY8</t>
  </si>
  <si>
    <t>kT7oW1uU6</t>
  </si>
  <si>
    <t>bU7oX7kV6</t>
  </si>
  <si>
    <t>cY2iV0kC4</t>
  </si>
  <si>
    <t>sO0iD3eC7</t>
  </si>
  <si>
    <t>bR3iA6pO6</t>
  </si>
  <si>
    <t>xF0pA8mW4</t>
  </si>
  <si>
    <t>gI8mY1iT8</t>
  </si>
  <si>
    <t>sT6xF3qC2</t>
  </si>
  <si>
    <t>yI5wQ6nU5</t>
  </si>
  <si>
    <t>vQ5pO7rN1</t>
  </si>
  <si>
    <t>oA7eA6hR4</t>
  </si>
  <si>
    <t>qH8jX0kI8</t>
  </si>
  <si>
    <t>lO0qH1lR5</t>
  </si>
  <si>
    <t>lD1nO8uI4</t>
  </si>
  <si>
    <t>yG6mK5iR5</t>
  </si>
  <si>
    <t>cC0bQ2bF7</t>
  </si>
  <si>
    <t>eJ0yK1wD1</t>
  </si>
  <si>
    <t>tQ3rV5nP3</t>
  </si>
  <si>
    <t>fQ5pI2iM4</t>
  </si>
  <si>
    <t>gT3oE5fQ5</t>
  </si>
  <si>
    <t>nB4sI0vR3</t>
  </si>
  <si>
    <t>lX7fU3xC5</t>
  </si>
  <si>
    <t>gJ0gJ3xL0</t>
  </si>
  <si>
    <t>mK5dK1eH0</t>
  </si>
  <si>
    <t>rU4sQ7xM2</t>
  </si>
  <si>
    <t>vB1fB5bM7</t>
  </si>
  <si>
    <t>bK8bT6rB6</t>
  </si>
  <si>
    <t>tK5fH1xM5</t>
  </si>
  <si>
    <t>lI7uF4sT7</t>
  </si>
  <si>
    <t>hT2iO7dU7</t>
  </si>
  <si>
    <t>eS8lI2fI1</t>
  </si>
  <si>
    <t>jX7cX6yK7</t>
  </si>
  <si>
    <t>gN0sQ4iS3</t>
  </si>
  <si>
    <t>cY0aS3yI8</t>
  </si>
  <si>
    <t>bC1yH5bO7</t>
  </si>
  <si>
    <t>uR4aV4wF0</t>
  </si>
  <si>
    <t>mA3sO8qN7</t>
  </si>
  <si>
    <t>uI6yL8yA8</t>
  </si>
  <si>
    <t>eQ4sT1wO3</t>
  </si>
  <si>
    <t>xC8sK8yO5</t>
  </si>
  <si>
    <t>hC8nI3dJ4</t>
  </si>
  <si>
    <t>kM7iT5nD5</t>
  </si>
  <si>
    <t>nB5aM1vY6</t>
  </si>
  <si>
    <t>aN1xP2wT8</t>
  </si>
  <si>
    <t>mL4gD5gK7</t>
  </si>
  <si>
    <t>rX7tO6bV7</t>
  </si>
  <si>
    <t>gE7mP7tT3</t>
  </si>
  <si>
    <t>vL1iB0xL6</t>
  </si>
  <si>
    <t>eD2aI2gG3</t>
  </si>
  <si>
    <t>lT2iO2sJ2</t>
  </si>
  <si>
    <t>vY1aR2mB6</t>
  </si>
  <si>
    <t>kH3pO7mO2</t>
  </si>
  <si>
    <t>qS8yE2mD6</t>
  </si>
  <si>
    <t>aC5bO5yK8</t>
  </si>
  <si>
    <t>wI5sU8cX5</t>
  </si>
  <si>
    <t>tM6pQ2oN6</t>
  </si>
  <si>
    <t>dI2nD5dJ4</t>
  </si>
  <si>
    <t>tU1kX5aC4</t>
  </si>
  <si>
    <t>cF1iJ7jX2</t>
  </si>
  <si>
    <t>bI6pK8nR6</t>
  </si>
  <si>
    <t>yI8lN2hP2</t>
  </si>
  <si>
    <t>lC6xM8kB4</t>
  </si>
  <si>
    <t>lV2iR2lU5</t>
  </si>
  <si>
    <t>rU6sD6mP2</t>
  </si>
  <si>
    <t>qS8tY6jA5</t>
  </si>
  <si>
    <t>vU6iI5wL5</t>
  </si>
  <si>
    <t>vV7tA2oU3</t>
  </si>
  <si>
    <t>aM8iN0fR8</t>
  </si>
  <si>
    <t>mY0gR8aB8</t>
  </si>
  <si>
    <t>oO8qJ2pA0</t>
  </si>
  <si>
    <t>mX0cB7oV0</t>
  </si>
  <si>
    <t>cB3xM6kV0</t>
  </si>
  <si>
    <t>pM2eE5bG7</t>
  </si>
  <si>
    <t>aK7lT8aL1</t>
  </si>
  <si>
    <t>xC6mS4bU2</t>
  </si>
  <si>
    <t>rI2sK1bB0</t>
  </si>
  <si>
    <t>uC2bO2kC1</t>
  </si>
  <si>
    <t>cG4yR6kE7</t>
  </si>
  <si>
    <t>wX2lD0dU1</t>
  </si>
  <si>
    <t>tU1vS6uC2</t>
  </si>
  <si>
    <t>sL7cU7oI2</t>
  </si>
  <si>
    <t>tA6eF0qL8</t>
  </si>
  <si>
    <t>uP4aE6wB5</t>
  </si>
  <si>
    <t>rX1pA1kQ0</t>
  </si>
  <si>
    <t>wY5uN8cT2</t>
  </si>
  <si>
    <t>hE8rN2tM7</t>
  </si>
  <si>
    <t>vB3pY1sB5</t>
  </si>
  <si>
    <t>pM2jM7sK5</t>
  </si>
  <si>
    <t>oG6lD6yM2</t>
  </si>
  <si>
    <t>jN8pQ2kB3</t>
  </si>
  <si>
    <t>sN8rF0kM3</t>
  </si>
  <si>
    <t>bQ1iN7vQ1</t>
  </si>
  <si>
    <t>pA2nE0oD8</t>
  </si>
  <si>
    <t>uE2wA3lC2</t>
  </si>
  <si>
    <t>dK6oP1xJ6</t>
  </si>
  <si>
    <t>wX8iM8qB0</t>
  </si>
  <si>
    <t>qW5mX3oE2</t>
  </si>
  <si>
    <t>hH4pQ0pS7</t>
  </si>
  <si>
    <t>oD5qW3uC7</t>
  </si>
  <si>
    <t>xJ1iV7lW5</t>
  </si>
  <si>
    <t>nB6pQ3iS7</t>
  </si>
  <si>
    <t>rX3gH2iJ1</t>
  </si>
  <si>
    <t>yA2wN5gC6</t>
  </si>
  <si>
    <t>pA2eX4bC7</t>
  </si>
  <si>
    <t>mH4bC5tX5</t>
  </si>
  <si>
    <t>jJ4cE2qY4</t>
  </si>
  <si>
    <t>vX5tD5oO4</t>
  </si>
  <si>
    <t>tB7xL0dQ6</t>
  </si>
  <si>
    <t>wF0qE3sW0</t>
  </si>
  <si>
    <t>nC5aQ2aA4</t>
  </si>
  <si>
    <t>gW8bH0uN1</t>
  </si>
  <si>
    <t>qG0eB8wV6</t>
  </si>
  <si>
    <t>yX0oW4iO6</t>
  </si>
  <si>
    <t>nC5xJ5lM5</t>
  </si>
  <si>
    <t>vQ4tE2nI4</t>
  </si>
  <si>
    <t>oM8iG1mC6</t>
  </si>
  <si>
    <t>nN0kY4xQ2</t>
  </si>
  <si>
    <t>uE0tJ6lB7</t>
  </si>
  <si>
    <t>aC8lE2bT7</t>
  </si>
  <si>
    <t>sV2jO1vH2</t>
  </si>
  <si>
    <t>rW8uA2jP1</t>
  </si>
  <si>
    <t>pW2mE4nW5</t>
  </si>
  <si>
    <t>rQ5yL5lV8</t>
  </si>
  <si>
    <t>aM6pB8wV7</t>
  </si>
  <si>
    <t>sC4dK7rJ5</t>
  </si>
  <si>
    <t>jS5fU1eN1</t>
  </si>
  <si>
    <t>iC2vS6fK6</t>
  </si>
  <si>
    <t>kH0hA5bN0</t>
  </si>
  <si>
    <t>mB6hG5qC4</t>
  </si>
  <si>
    <t>hG1uQ4aM5</t>
  </si>
  <si>
    <t>pL0dO6uE7</t>
  </si>
  <si>
    <t>lI3kL0wX2</t>
  </si>
  <si>
    <t>vH6jY6tB4</t>
  </si>
  <si>
    <t>oB7cR1aX3</t>
  </si>
  <si>
    <t>qN2qY1uP3</t>
  </si>
  <si>
    <t>gY6oG0gK2</t>
  </si>
  <si>
    <t>eN0sG0pI6</t>
  </si>
  <si>
    <t>vM4nI7wH1</t>
  </si>
  <si>
    <t>nJ4aX8fK4</t>
  </si>
  <si>
    <t>mR8qU6iE5</t>
  </si>
  <si>
    <t>nA0oS6lO3</t>
  </si>
  <si>
    <t>yM3eL5cT3</t>
  </si>
  <si>
    <t>dE6fJ0wT0</t>
  </si>
  <si>
    <t>xA8yK2sB1</t>
  </si>
  <si>
    <t>iI2sE2cE7</t>
  </si>
  <si>
    <t>tS3cD0qJ2</t>
  </si>
  <si>
    <t>dC0kU3qW8</t>
  </si>
  <si>
    <t>bU8mS8mM1</t>
  </si>
  <si>
    <t>fE1cU0pW3</t>
  </si>
  <si>
    <t>uT8gU0xE8</t>
  </si>
  <si>
    <t>sI0sX5uN5</t>
  </si>
  <si>
    <t>dF1aH7hA2</t>
  </si>
  <si>
    <t>jT5bQ5nV0</t>
  </si>
  <si>
    <t>jU0xV3uI5</t>
  </si>
  <si>
    <t>bF5oT4wJ7</t>
  </si>
  <si>
    <t>nT6wP2pL8</t>
  </si>
  <si>
    <t>kY4wR1kW0</t>
  </si>
  <si>
    <t>wW6rT6wB7</t>
  </si>
  <si>
    <t>dI8aU5pN4</t>
  </si>
  <si>
    <t>hP7fF3nK1</t>
  </si>
  <si>
    <t>xR6wL3lQ6</t>
  </si>
  <si>
    <t>jC3pC6dD2</t>
  </si>
  <si>
    <t>gF2xY7mT5</t>
  </si>
  <si>
    <t>fA3uY3uT6</t>
  </si>
  <si>
    <t>qR2jX1pA7</t>
  </si>
  <si>
    <t>aT0lD4vM1</t>
  </si>
  <si>
    <t>oN2eL3kU2</t>
  </si>
  <si>
    <t>bM6nR1aB6</t>
  </si>
  <si>
    <t>iM7bR6oO0</t>
  </si>
  <si>
    <t>cN6jX5fN3</t>
  </si>
  <si>
    <t>pP5mA2uL8</t>
  </si>
  <si>
    <t>cS7aT1aN4</t>
  </si>
  <si>
    <t>wN4eC3rF2</t>
  </si>
  <si>
    <t>cB8fG6fF5</t>
  </si>
  <si>
    <t>uD0yN6yO4</t>
  </si>
  <si>
    <t>aP4sN5uB3</t>
  </si>
  <si>
    <t>vN7wP6eM5</t>
  </si>
  <si>
    <t>bN8sN1pS2</t>
  </si>
  <si>
    <t>gX0pC8nK6</t>
  </si>
  <si>
    <t>hI6dB6xW0</t>
  </si>
  <si>
    <t>xR2pK0sV7</t>
  </si>
  <si>
    <t>oX8iV0kF2</t>
  </si>
  <si>
    <t>rD8uY7aT6</t>
  </si>
  <si>
    <t>jT0jC6lP6</t>
  </si>
  <si>
    <t>jF1jA7xJ8</t>
  </si>
  <si>
    <t>dP7yX4wQ7</t>
  </si>
  <si>
    <t>nA7dX1kB3</t>
  </si>
  <si>
    <t>vD2lY4bY1</t>
  </si>
  <si>
    <t>pT4aM7dT8</t>
  </si>
  <si>
    <t>uR5yR0jK8</t>
  </si>
  <si>
    <t>dV1dJ3rE2</t>
  </si>
  <si>
    <t>fQ6cY5sB0</t>
  </si>
  <si>
    <t>jB8xX6jR7</t>
  </si>
  <si>
    <t>fI7fY3wD1</t>
  </si>
  <si>
    <t>fL0oA1gI8</t>
  </si>
  <si>
    <t>bM3jB7rD5</t>
  </si>
  <si>
    <t>dJ5xV6wY7</t>
  </si>
  <si>
    <t>yO3jY1sL8</t>
  </si>
  <si>
    <t>qM5jH1kW5</t>
  </si>
  <si>
    <t>pP0hO6lW1</t>
  </si>
  <si>
    <t>nQ2qW8xJ7</t>
  </si>
  <si>
    <t>jR2eT5eD4</t>
  </si>
  <si>
    <t>nS5uR2oV5</t>
  </si>
  <si>
    <t>eY5oF1nS3</t>
  </si>
  <si>
    <t>uO8aY6nJ7</t>
  </si>
  <si>
    <t>qB2gH1kH2</t>
  </si>
  <si>
    <t>fA3aL5qU5</t>
  </si>
  <si>
    <t>sL8pN8uF4</t>
  </si>
  <si>
    <t>sC8rF1sI2</t>
  </si>
  <si>
    <t>lY0iG7fP3</t>
  </si>
  <si>
    <t>oW8kD5dR8</t>
  </si>
  <si>
    <t>pA5fP8fP1</t>
  </si>
  <si>
    <t>aW8qS2fT3</t>
  </si>
  <si>
    <t>sU2aG2gY7</t>
  </si>
  <si>
    <t>lS1gV7eN2</t>
  </si>
  <si>
    <t>gX0wS0cV2</t>
  </si>
  <si>
    <t>oX3rB1kJ7</t>
  </si>
  <si>
    <t>yX1pS8dJ4</t>
  </si>
  <si>
    <t>qD6hH7aR7</t>
  </si>
  <si>
    <t>mX8oF3aH6</t>
  </si>
  <si>
    <t>mI0nM1xE4</t>
  </si>
  <si>
    <t>yV7cE3cQ3</t>
  </si>
  <si>
    <t>jO5xM1nK8</t>
  </si>
  <si>
    <t>lP4rJ4nT0</t>
  </si>
  <si>
    <t>iO6kJ3mW4</t>
  </si>
  <si>
    <t>hQ3cB7vG4</t>
  </si>
  <si>
    <t>nH6dI5wO8</t>
  </si>
  <si>
    <t>vE4uO1tL4</t>
  </si>
  <si>
    <t>wL3bI8cK8</t>
  </si>
  <si>
    <t>oR8bR6uJ1</t>
  </si>
  <si>
    <t>vF5sQ7jV2</t>
  </si>
  <si>
    <t>oH5pJ7qI0</t>
  </si>
  <si>
    <t>hB1iY4rN8</t>
  </si>
  <si>
    <t>cC7cU3yW4</t>
  </si>
  <si>
    <t>pI0mM8rC6</t>
  </si>
  <si>
    <t>aG4nP4yB1</t>
  </si>
  <si>
    <t>uH6iL2wC4</t>
  </si>
  <si>
    <t>wS2uH6nK0</t>
  </si>
  <si>
    <t>mH3vK6lI1</t>
  </si>
  <si>
    <t>cY4rS8hT2</t>
  </si>
  <si>
    <t>dK0mM5yS0</t>
  </si>
  <si>
    <t>gK8mD2fI8</t>
  </si>
  <si>
    <t>bW7lG0jN1</t>
  </si>
  <si>
    <t>yH0gT5kO4</t>
  </si>
  <si>
    <t>vO8lR1aL1</t>
  </si>
  <si>
    <t>yA4aS8gN0</t>
  </si>
  <si>
    <t>kI6tV4bO4</t>
  </si>
  <si>
    <t>uW1qA4qS0</t>
  </si>
  <si>
    <t>aG4rA6pQ0</t>
  </si>
  <si>
    <t>vS0cE2iJ2</t>
  </si>
  <si>
    <t>hT4cR4gI1</t>
  </si>
  <si>
    <t>jF5aN5sR5</t>
  </si>
  <si>
    <t>rB7gG0iU7</t>
  </si>
  <si>
    <t>qE3uU1jO6</t>
  </si>
  <si>
    <t>nO6eB2kC7</t>
  </si>
  <si>
    <t>sU5sE3tT2</t>
  </si>
  <si>
    <t>tT3aS0kS5</t>
  </si>
  <si>
    <t>nO5uC1vH4</t>
  </si>
  <si>
    <t>cI8kE5yL2</t>
  </si>
  <si>
    <t>jQ0tP6vT0</t>
  </si>
  <si>
    <t>jA0pR2aQ7</t>
  </si>
  <si>
    <t>xQ4xY8bJ4</t>
  </si>
  <si>
    <t>sP4vE2xC4</t>
  </si>
  <si>
    <t>iK3hL4bB8</t>
  </si>
  <si>
    <t>nO6kT0oI5</t>
  </si>
  <si>
    <t>vM2xR7sA5</t>
  </si>
  <si>
    <t>aT5mA0tI6</t>
  </si>
  <si>
    <t>bO3tS8jR2</t>
  </si>
  <si>
    <t>hE2fU8bV6</t>
  </si>
  <si>
    <t>bN3lX8nK8</t>
  </si>
  <si>
    <t>fD0uM1oS4</t>
  </si>
  <si>
    <t>sX0eC4oK6</t>
  </si>
  <si>
    <t>iL3hO1yW2</t>
  </si>
  <si>
    <t>lP1bU4lO3</t>
  </si>
  <si>
    <t>aY8cX4oS3</t>
  </si>
  <si>
    <t>dA2hX2pT7</t>
  </si>
  <si>
    <t>sW7xX8oJ7</t>
  </si>
  <si>
    <t>pX5sC1iO7</t>
  </si>
  <si>
    <t>qJ0cA2mO1</t>
  </si>
  <si>
    <t>qP6oB5lS6</t>
  </si>
  <si>
    <t>iL4uX5sU0</t>
  </si>
  <si>
    <t>gD6tI2kC7</t>
  </si>
  <si>
    <t>eW7uM1lE5</t>
  </si>
  <si>
    <t>lN8uV4qH6</t>
  </si>
  <si>
    <t>uU6eA5gA2</t>
  </si>
  <si>
    <t>aQ1oO4tN0</t>
  </si>
  <si>
    <t>wK0dU0jL5</t>
  </si>
  <si>
    <t>aI0eI5jN3</t>
  </si>
  <si>
    <t>fB3pI0pP1</t>
  </si>
  <si>
    <t>lD3sY7dM7</t>
  </si>
  <si>
    <t>mA8wX0uH0</t>
  </si>
  <si>
    <t>uN5fW8cX4</t>
  </si>
  <si>
    <t>uY2lE4kG5</t>
  </si>
  <si>
    <t>jO6dC6hY4</t>
  </si>
  <si>
    <t>xI7vU7sL0</t>
  </si>
  <si>
    <t>hF3wP4yN2</t>
  </si>
  <si>
    <t>dR5yG2lQ7</t>
  </si>
  <si>
    <t>kI8oP0rY4</t>
  </si>
  <si>
    <t>nI5wL8vA3</t>
  </si>
  <si>
    <t>fR1sJ8uX1</t>
  </si>
  <si>
    <t>tY2sL4nH0</t>
  </si>
  <si>
    <t>cH1cG7pY7</t>
  </si>
  <si>
    <t>jJ4kO4uH1</t>
  </si>
  <si>
    <t>pS0yH1xF3</t>
  </si>
  <si>
    <t>yE7bH4qN3</t>
  </si>
  <si>
    <t>yO2rW3qS2</t>
  </si>
  <si>
    <t>gY1gF7wC6</t>
  </si>
  <si>
    <t>wR5oK1rU0</t>
  </si>
  <si>
    <t>vR1fN2dD1</t>
  </si>
  <si>
    <t>nW1uD4nF1</t>
  </si>
  <si>
    <t>cX3lR3xF1</t>
  </si>
  <si>
    <t>nE2tC3gG3</t>
  </si>
  <si>
    <t>tJ3pL0wX6</t>
  </si>
  <si>
    <t>mW8tJ4sE2</t>
  </si>
  <si>
    <t>vW6dC6jM7</t>
  </si>
  <si>
    <t>nX8lI7aI6</t>
  </si>
  <si>
    <t>oS4pC1oX0</t>
  </si>
  <si>
    <t>dI7cA3jH6</t>
  </si>
  <si>
    <t>tT5tD8dC6</t>
  </si>
  <si>
    <t>eL6rP5oQ6</t>
  </si>
  <si>
    <t>dL4bE3xL8</t>
  </si>
  <si>
    <t>tH2vY7nY4</t>
  </si>
  <si>
    <t>lI7vK1uT8</t>
  </si>
  <si>
    <t>qY0cS3gN6</t>
  </si>
  <si>
    <t>bV3aJ2hV2</t>
  </si>
  <si>
    <t>wY0xP3gP8</t>
  </si>
  <si>
    <t>uA6oH3tB3</t>
  </si>
  <si>
    <t>kI8aB4cA5</t>
  </si>
  <si>
    <t>pN1gR8qH0</t>
  </si>
  <si>
    <t>yE3mY2nQ7</t>
  </si>
  <si>
    <t>nO3eU5nL8</t>
  </si>
  <si>
    <t>vO2dD3yB2</t>
  </si>
  <si>
    <t>kR1kP5pI4</t>
  </si>
  <si>
    <t>jJ7gM3vR6</t>
  </si>
  <si>
    <t>wH6sB6oA0</t>
  </si>
  <si>
    <t>fD6dY1aU2</t>
  </si>
  <si>
    <t>cE4aM2jY1</t>
  </si>
  <si>
    <t>kU1oN1eP7</t>
  </si>
  <si>
    <t>nT6iB4qG2</t>
  </si>
  <si>
    <t>eF0iN6bG3</t>
  </si>
  <si>
    <t>wA8bY7qV6</t>
  </si>
  <si>
    <t>iQ2vA3yI2</t>
  </si>
  <si>
    <t>gL7iH8mN2</t>
  </si>
  <si>
    <t>fV3mH3sY5</t>
  </si>
  <si>
    <t>pE1sG8qH5</t>
  </si>
  <si>
    <t>rE4tV7bI3</t>
  </si>
  <si>
    <t>aH5sU4oD1</t>
  </si>
  <si>
    <t>pI8fL3yW5</t>
  </si>
  <si>
    <t>aS6gJ1yL5</t>
  </si>
  <si>
    <t>kN3sF8vF1</t>
  </si>
  <si>
    <t>kJ7sP7eE1</t>
  </si>
  <si>
    <t>yG6eP0uN3</t>
  </si>
  <si>
    <t>qP6kV0sD5</t>
  </si>
  <si>
    <t>cG4cG2kK3</t>
  </si>
  <si>
    <t>bV6cN0yI0</t>
  </si>
  <si>
    <t>hY3hX8hV1</t>
  </si>
  <si>
    <t>tS7aA0kT6</t>
  </si>
  <si>
    <t>xN5kA0eE2</t>
  </si>
  <si>
    <t>vY1tF7pH4</t>
  </si>
  <si>
    <t>mY3lG5aR1</t>
  </si>
  <si>
    <t>oL8eC3iX0</t>
  </si>
  <si>
    <t>kL8rA5jR2</t>
  </si>
  <si>
    <t>vS4bG3jR3</t>
  </si>
  <si>
    <t>gP5aF2xB8</t>
  </si>
  <si>
    <t>eY6rK3xN1</t>
  </si>
  <si>
    <t>bT0dE8fS3</t>
  </si>
  <si>
    <t>gD3mD3vV2</t>
  </si>
  <si>
    <t>rO5cX1bG1</t>
  </si>
  <si>
    <t>fE7aM8aJ2</t>
  </si>
  <si>
    <t>oG8qQ6nF5</t>
  </si>
  <si>
    <t>oQ5yB0mG1</t>
  </si>
  <si>
    <t>oW6iP8kK4</t>
  </si>
  <si>
    <t>dD8fW5mH6</t>
  </si>
  <si>
    <t>vC0dT5nA7</t>
  </si>
  <si>
    <t>yS2iP5cO2</t>
  </si>
  <si>
    <t>eP0kN7uO2</t>
  </si>
  <si>
    <t>sI1yR8dV7</t>
  </si>
  <si>
    <t>oP8pT8lR6</t>
  </si>
  <si>
    <t>wS1wP6pU8</t>
  </si>
  <si>
    <t>aN2cS1gM7</t>
  </si>
  <si>
    <t>vQ7dR4wE8</t>
  </si>
  <si>
    <t>bL4fI4sC4</t>
  </si>
  <si>
    <t>oN5sY1pK5</t>
  </si>
  <si>
    <t>jQ8mS2kG0</t>
  </si>
  <si>
    <t>dJ8rM6rO5</t>
  </si>
  <si>
    <t>aJ3jF8uV3</t>
  </si>
  <si>
    <t>hF3uP8eO2</t>
  </si>
  <si>
    <t>tL8hS2bG6</t>
  </si>
  <si>
    <t>yX4bM1wA5</t>
  </si>
  <si>
    <t>dA7mD4lG7</t>
  </si>
  <si>
    <t>nO7aJ0sH1</t>
  </si>
  <si>
    <t>gY2cX6qL1</t>
  </si>
  <si>
    <t>lO6qR8fG3</t>
  </si>
  <si>
    <t>dF1mX4iH5</t>
  </si>
  <si>
    <t>Gunjan</t>
  </si>
  <si>
    <t>PALAK</t>
  </si>
  <si>
    <t>MONA</t>
  </si>
  <si>
    <t>NITISH</t>
  </si>
  <si>
    <t>CHINTU</t>
  </si>
  <si>
    <t>Alok</t>
  </si>
  <si>
    <t>Kirti</t>
  </si>
  <si>
    <t>YASH</t>
  </si>
  <si>
    <t>Atul</t>
  </si>
  <si>
    <t>Riya</t>
  </si>
  <si>
    <t>Lakhan</t>
  </si>
  <si>
    <t>Piyush</t>
  </si>
  <si>
    <t>Jatin</t>
  </si>
  <si>
    <t>Rajat</t>
  </si>
  <si>
    <t>Pinky</t>
  </si>
  <si>
    <t>Jyoti</t>
  </si>
  <si>
    <t>ABHI</t>
  </si>
  <si>
    <t>MAYUR</t>
  </si>
  <si>
    <t>BITTU</t>
  </si>
  <si>
    <t>SUMAN</t>
  </si>
  <si>
    <t>ASHOK</t>
  </si>
  <si>
    <t>SIMMI</t>
  </si>
  <si>
    <t>PANKAJ</t>
  </si>
  <si>
    <t>ANU</t>
  </si>
  <si>
    <t>SALONI</t>
  </si>
  <si>
    <t>PARAG</t>
  </si>
  <si>
    <t>ANUP</t>
  </si>
  <si>
    <t>HIMANI</t>
  </si>
  <si>
    <t>TARUN</t>
  </si>
  <si>
    <t>MONIKA</t>
  </si>
  <si>
    <t>RAKHI</t>
  </si>
  <si>
    <t>REEMA</t>
  </si>
  <si>
    <t>SHEENA</t>
  </si>
  <si>
    <t>JIYA</t>
  </si>
  <si>
    <t>HAPPY</t>
  </si>
  <si>
    <t>MANSI</t>
  </si>
  <si>
    <t>AVINASH</t>
  </si>
  <si>
    <t>ANUJ</t>
  </si>
  <si>
    <t>KAJAL</t>
  </si>
  <si>
    <t>DEV</t>
  </si>
  <si>
    <t>RAJESH</t>
  </si>
  <si>
    <t>APURVA</t>
  </si>
  <si>
    <t>JEETU</t>
  </si>
  <si>
    <t>HARSHI</t>
  </si>
  <si>
    <t>HITESH</t>
  </si>
  <si>
    <t>KARAN</t>
  </si>
  <si>
    <t>AJAY</t>
  </si>
  <si>
    <t>NIDHI</t>
  </si>
  <si>
    <t>VIVEK</t>
  </si>
  <si>
    <t>VIPUL</t>
  </si>
  <si>
    <t>USHA</t>
  </si>
  <si>
    <t>Priya</t>
  </si>
  <si>
    <t>Lalit</t>
  </si>
  <si>
    <t>RONAK</t>
  </si>
  <si>
    <t>SIA</t>
  </si>
  <si>
    <t>Ashwin</t>
  </si>
  <si>
    <t>Amit</t>
  </si>
  <si>
    <t>AMAN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</si>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</sst>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B8990907-9178-4502-8F37-EF68FDE501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D4" sqref="D4"/>
    </sheetView>
  </sheetViews>
  <sheetFormatPr defaultRowHeight="14.4" x14ac:dyDescent="0.3"/>
  <cols>
    <col min="2" max="2" width="34.5546875" customWidth="1"/>
    <col min="3" max="3" width="44" customWidth="1"/>
    <col min="5" max="5" width="38.44140625" customWidth="1"/>
    <col min="9" max="9" width="16.33203125" customWidth="1"/>
  </cols>
  <sheetData>
    <row r="1" spans="1:9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10117</v>
      </c>
      <c r="B2" t="s">
        <v>9</v>
      </c>
      <c r="C2">
        <v>7648876604</v>
      </c>
      <c r="D2" s="2">
        <v>1</v>
      </c>
      <c r="E2" t="str">
        <f>"4574674200955714"</f>
        <v>4574674200955714</v>
      </c>
      <c r="F2" t="str">
        <f>"964"</f>
        <v>964</v>
      </c>
      <c r="G2">
        <v>1</v>
      </c>
      <c r="H2">
        <v>2023</v>
      </c>
      <c r="I2" t="s">
        <v>117</v>
      </c>
    </row>
    <row r="3" spans="1:9" x14ac:dyDescent="0.3">
      <c r="A3" t="s">
        <v>10117</v>
      </c>
      <c r="B3" t="s">
        <v>9</v>
      </c>
      <c r="C3">
        <v>7648876604</v>
      </c>
      <c r="D3" s="2">
        <v>1</v>
      </c>
      <c r="E3" t="str">
        <f>"4574674200955771"</f>
        <v>4574674200955771</v>
      </c>
      <c r="F3" t="str">
        <f>"456"</f>
        <v>456</v>
      </c>
      <c r="G3">
        <v>1</v>
      </c>
      <c r="H3">
        <v>2023</v>
      </c>
      <c r="I3" t="s">
        <v>118</v>
      </c>
    </row>
    <row r="4" spans="1:9" x14ac:dyDescent="0.3">
      <c r="A4" t="s">
        <v>10117</v>
      </c>
      <c r="B4" t="s">
        <v>9</v>
      </c>
      <c r="C4">
        <v>7648876604</v>
      </c>
      <c r="D4" s="2">
        <v>1</v>
      </c>
      <c r="E4" t="str">
        <f>"4574674200428035"</f>
        <v>4574674200428035</v>
      </c>
      <c r="F4" t="str">
        <f>"006"</f>
        <v>006</v>
      </c>
      <c r="G4">
        <v>1</v>
      </c>
      <c r="H4">
        <v>2023</v>
      </c>
      <c r="I4" t="s">
        <v>119</v>
      </c>
    </row>
    <row r="5" spans="1:9" x14ac:dyDescent="0.3">
      <c r="A5" t="s">
        <v>10117</v>
      </c>
      <c r="B5" t="s">
        <v>9</v>
      </c>
      <c r="C5">
        <v>7648876604</v>
      </c>
      <c r="D5" s="2">
        <v>1</v>
      </c>
      <c r="E5" t="str">
        <f>"4574674200428217"</f>
        <v>4574674200428217</v>
      </c>
      <c r="F5" t="str">
        <f>"819"</f>
        <v>819</v>
      </c>
      <c r="G5">
        <v>1</v>
      </c>
      <c r="H5">
        <v>2023</v>
      </c>
      <c r="I5" t="s">
        <v>120</v>
      </c>
    </row>
    <row r="6" spans="1:9" x14ac:dyDescent="0.3">
      <c r="A6" t="s">
        <v>10117</v>
      </c>
      <c r="B6" t="s">
        <v>9</v>
      </c>
      <c r="C6">
        <v>7648876604</v>
      </c>
      <c r="D6" s="2">
        <v>1</v>
      </c>
      <c r="E6" t="str">
        <f>"4574674200955805"</f>
        <v>4574674200955805</v>
      </c>
      <c r="F6" t="str">
        <f>"432"</f>
        <v>432</v>
      </c>
      <c r="G6">
        <v>1</v>
      </c>
      <c r="H6">
        <v>2023</v>
      </c>
      <c r="I6" t="s">
        <v>121</v>
      </c>
    </row>
    <row r="7" spans="1:9" x14ac:dyDescent="0.3">
      <c r="A7" t="s">
        <v>10117</v>
      </c>
      <c r="B7" t="s">
        <v>9</v>
      </c>
      <c r="C7">
        <v>7648876604</v>
      </c>
      <c r="D7" s="2">
        <v>1</v>
      </c>
      <c r="E7" t="str">
        <f>"4574674200428134"</f>
        <v>4574674200428134</v>
      </c>
      <c r="F7" t="str">
        <f>"154"</f>
        <v>154</v>
      </c>
      <c r="G7">
        <v>1</v>
      </c>
      <c r="H7">
        <v>2023</v>
      </c>
      <c r="I7" t="s">
        <v>122</v>
      </c>
    </row>
    <row r="8" spans="1:9" x14ac:dyDescent="0.3">
      <c r="A8" t="s">
        <v>10117</v>
      </c>
      <c r="B8" t="s">
        <v>9</v>
      </c>
      <c r="C8">
        <v>7648876604</v>
      </c>
      <c r="D8" s="2">
        <v>1</v>
      </c>
      <c r="E8" t="str">
        <f>"4574674200955839"</f>
        <v>4574674200955839</v>
      </c>
      <c r="F8" t="str">
        <f>"870"</f>
        <v>870</v>
      </c>
      <c r="G8">
        <v>1</v>
      </c>
      <c r="H8">
        <v>2023</v>
      </c>
      <c r="I8" t="s">
        <v>123</v>
      </c>
    </row>
    <row r="9" spans="1:9" x14ac:dyDescent="0.3">
      <c r="A9" t="s">
        <v>10117</v>
      </c>
      <c r="B9" t="s">
        <v>9</v>
      </c>
      <c r="C9">
        <v>7648876604</v>
      </c>
      <c r="D9" s="2">
        <v>1</v>
      </c>
      <c r="E9" t="str">
        <f>"4574674200428241"</f>
        <v>4574674200428241</v>
      </c>
      <c r="F9" t="str">
        <f>"666"</f>
        <v>666</v>
      </c>
      <c r="G9">
        <v>1</v>
      </c>
      <c r="H9">
        <v>2023</v>
      </c>
      <c r="I9" t="s">
        <v>124</v>
      </c>
    </row>
    <row r="10" spans="1:9" x14ac:dyDescent="0.3">
      <c r="A10" t="s">
        <v>10117</v>
      </c>
      <c r="B10" t="s">
        <v>9</v>
      </c>
      <c r="C10">
        <v>7648876604</v>
      </c>
      <c r="D10" s="2">
        <v>1</v>
      </c>
      <c r="E10" t="str">
        <f>"4574674200428266"</f>
        <v>4574674200428266</v>
      </c>
      <c r="F10" t="str">
        <f>"716"</f>
        <v>716</v>
      </c>
      <c r="G10">
        <v>1</v>
      </c>
      <c r="H10">
        <v>2023</v>
      </c>
      <c r="I10" t="s">
        <v>125</v>
      </c>
    </row>
    <row r="11" spans="1:9" x14ac:dyDescent="0.3">
      <c r="A11" t="s">
        <v>10117</v>
      </c>
      <c r="B11" t="s">
        <v>9</v>
      </c>
      <c r="C11">
        <v>7648876604</v>
      </c>
      <c r="D11" s="2">
        <v>1</v>
      </c>
      <c r="E11" t="str">
        <f>"4574674200428167"</f>
        <v>4574674200428167</v>
      </c>
      <c r="F11" t="str">
        <f>"460"</f>
        <v>460</v>
      </c>
      <c r="G11">
        <v>1</v>
      </c>
      <c r="H11">
        <v>2023</v>
      </c>
      <c r="I11" t="s">
        <v>126</v>
      </c>
    </row>
    <row r="12" spans="1:9" x14ac:dyDescent="0.3">
      <c r="A12" t="s">
        <v>10118</v>
      </c>
      <c r="B12" t="s">
        <v>10</v>
      </c>
      <c r="C12">
        <v>7648876604</v>
      </c>
      <c r="D12" s="2">
        <v>1</v>
      </c>
      <c r="E12" t="str">
        <f>"4574674200955862"</f>
        <v>4574674200955862</v>
      </c>
      <c r="F12" t="str">
        <f>"777"</f>
        <v>777</v>
      </c>
      <c r="G12">
        <v>1</v>
      </c>
      <c r="H12">
        <v>2023</v>
      </c>
      <c r="I12" t="s">
        <v>127</v>
      </c>
    </row>
    <row r="13" spans="1:9" x14ac:dyDescent="0.3">
      <c r="A13" t="s">
        <v>10118</v>
      </c>
      <c r="B13" t="s">
        <v>10</v>
      </c>
      <c r="C13">
        <v>7648876604</v>
      </c>
      <c r="D13" s="2">
        <v>1</v>
      </c>
      <c r="E13" t="str">
        <f>"4574674200428308"</f>
        <v>4574674200428308</v>
      </c>
      <c r="F13" t="str">
        <f>"821"</f>
        <v>821</v>
      </c>
      <c r="G13">
        <v>1</v>
      </c>
      <c r="H13">
        <v>2023</v>
      </c>
      <c r="I13" t="s">
        <v>128</v>
      </c>
    </row>
    <row r="14" spans="1:9" x14ac:dyDescent="0.3">
      <c r="A14" t="s">
        <v>10118</v>
      </c>
      <c r="B14" t="s">
        <v>10</v>
      </c>
      <c r="C14">
        <v>7648876604</v>
      </c>
      <c r="D14" s="2">
        <v>1</v>
      </c>
      <c r="E14" t="str">
        <f>"4574674200955847"</f>
        <v>4574674200955847</v>
      </c>
      <c r="F14" t="str">
        <f>"130"</f>
        <v>130</v>
      </c>
      <c r="G14">
        <v>1</v>
      </c>
      <c r="H14">
        <v>2023</v>
      </c>
      <c r="I14" t="s">
        <v>129</v>
      </c>
    </row>
    <row r="15" spans="1:9" x14ac:dyDescent="0.3">
      <c r="A15" t="s">
        <v>10118</v>
      </c>
      <c r="B15" t="s">
        <v>10</v>
      </c>
      <c r="C15">
        <v>7648876604</v>
      </c>
      <c r="D15" s="2">
        <v>1</v>
      </c>
      <c r="E15" t="str">
        <f>"4574674200428316"</f>
        <v>4574674200428316</v>
      </c>
      <c r="F15" t="str">
        <f>"772"</f>
        <v>772</v>
      </c>
      <c r="G15">
        <v>1</v>
      </c>
      <c r="H15">
        <v>2023</v>
      </c>
      <c r="I15" t="s">
        <v>130</v>
      </c>
    </row>
    <row r="16" spans="1:9" x14ac:dyDescent="0.3">
      <c r="A16" t="s">
        <v>10118</v>
      </c>
      <c r="B16" t="s">
        <v>10</v>
      </c>
      <c r="C16">
        <v>7648876604</v>
      </c>
      <c r="D16" s="2">
        <v>1</v>
      </c>
      <c r="E16" t="str">
        <f>"4574674200955920"</f>
        <v>4574674200955920</v>
      </c>
      <c r="F16" t="str">
        <f>"337"</f>
        <v>337</v>
      </c>
      <c r="G16">
        <v>1</v>
      </c>
      <c r="H16">
        <v>2023</v>
      </c>
      <c r="I16" t="s">
        <v>131</v>
      </c>
    </row>
    <row r="17" spans="1:9" x14ac:dyDescent="0.3">
      <c r="A17" t="s">
        <v>10118</v>
      </c>
      <c r="B17" t="s">
        <v>10</v>
      </c>
      <c r="C17">
        <v>7648876604</v>
      </c>
      <c r="D17" s="2">
        <v>1</v>
      </c>
      <c r="E17" t="str">
        <f>"4574674200955953"</f>
        <v>4574674200955953</v>
      </c>
      <c r="F17" t="str">
        <f>"046"</f>
        <v>046</v>
      </c>
      <c r="G17">
        <v>1</v>
      </c>
      <c r="H17">
        <v>2023</v>
      </c>
      <c r="I17" t="s">
        <v>132</v>
      </c>
    </row>
    <row r="18" spans="1:9" x14ac:dyDescent="0.3">
      <c r="A18" t="s">
        <v>10118</v>
      </c>
      <c r="B18" t="s">
        <v>10</v>
      </c>
      <c r="C18">
        <v>7648876604</v>
      </c>
      <c r="D18" s="2">
        <v>1</v>
      </c>
      <c r="E18" t="str">
        <f>"4574674200428357"</f>
        <v>4574674200428357</v>
      </c>
      <c r="F18" t="str">
        <f>"076"</f>
        <v>076</v>
      </c>
      <c r="G18">
        <v>1</v>
      </c>
      <c r="H18">
        <v>2023</v>
      </c>
      <c r="I18" t="s">
        <v>133</v>
      </c>
    </row>
    <row r="19" spans="1:9" x14ac:dyDescent="0.3">
      <c r="A19" t="s">
        <v>10118</v>
      </c>
      <c r="B19" t="s">
        <v>10</v>
      </c>
      <c r="C19">
        <v>7648876604</v>
      </c>
      <c r="D19" s="2">
        <v>1</v>
      </c>
      <c r="E19" t="str">
        <f>"4574674200955102"</f>
        <v>4574674200955102</v>
      </c>
      <c r="F19" t="str">
        <f>"325"</f>
        <v>325</v>
      </c>
      <c r="G19">
        <v>1</v>
      </c>
      <c r="H19">
        <v>2023</v>
      </c>
      <c r="I19" t="s">
        <v>134</v>
      </c>
    </row>
    <row r="20" spans="1:9" x14ac:dyDescent="0.3">
      <c r="A20" t="s">
        <v>10118</v>
      </c>
      <c r="B20" t="s">
        <v>10</v>
      </c>
      <c r="C20">
        <v>7648876604</v>
      </c>
      <c r="D20" s="2">
        <v>1</v>
      </c>
      <c r="E20" t="str">
        <f>"4574674200428555"</f>
        <v>4574674200428555</v>
      </c>
      <c r="F20" t="str">
        <f>"303"</f>
        <v>303</v>
      </c>
      <c r="G20">
        <v>1</v>
      </c>
      <c r="H20">
        <v>2023</v>
      </c>
      <c r="I20" t="s">
        <v>135</v>
      </c>
    </row>
    <row r="21" spans="1:9" x14ac:dyDescent="0.3">
      <c r="A21" t="s">
        <v>10118</v>
      </c>
      <c r="B21" t="s">
        <v>10</v>
      </c>
      <c r="C21">
        <v>7648876604</v>
      </c>
      <c r="D21" s="2">
        <v>1</v>
      </c>
      <c r="E21" t="str">
        <f>"4574674200955979"</f>
        <v>4574674200955979</v>
      </c>
      <c r="F21" t="str">
        <f>"907"</f>
        <v>907</v>
      </c>
      <c r="G21">
        <v>1</v>
      </c>
      <c r="H21">
        <v>2023</v>
      </c>
      <c r="I21" t="s">
        <v>136</v>
      </c>
    </row>
    <row r="22" spans="1:9" x14ac:dyDescent="0.3">
      <c r="A22" t="s">
        <v>10119</v>
      </c>
      <c r="B22" t="s">
        <v>11</v>
      </c>
      <c r="C22">
        <v>7648876604</v>
      </c>
      <c r="D22" s="2">
        <v>1</v>
      </c>
      <c r="E22" t="str">
        <f>"4574674200428530"</f>
        <v>4574674200428530</v>
      </c>
      <c r="F22" t="str">
        <f>"291"</f>
        <v>291</v>
      </c>
      <c r="G22">
        <v>1</v>
      </c>
      <c r="H22">
        <v>2023</v>
      </c>
      <c r="I22" t="s">
        <v>137</v>
      </c>
    </row>
    <row r="23" spans="1:9" x14ac:dyDescent="0.3">
      <c r="A23" t="s">
        <v>10119</v>
      </c>
      <c r="B23" t="s">
        <v>11</v>
      </c>
      <c r="C23">
        <v>7648876604</v>
      </c>
      <c r="D23" s="2">
        <v>1</v>
      </c>
      <c r="E23" t="str">
        <f>"4574674200955987"</f>
        <v>4574674200955987</v>
      </c>
      <c r="F23" t="str">
        <f>"796"</f>
        <v>796</v>
      </c>
      <c r="G23">
        <v>1</v>
      </c>
      <c r="H23">
        <v>2023</v>
      </c>
      <c r="I23" t="s">
        <v>138</v>
      </c>
    </row>
    <row r="24" spans="1:9" x14ac:dyDescent="0.3">
      <c r="A24" t="s">
        <v>10119</v>
      </c>
      <c r="B24" t="s">
        <v>11</v>
      </c>
      <c r="C24">
        <v>7648876604</v>
      </c>
      <c r="D24" s="2">
        <v>1</v>
      </c>
      <c r="E24" t="str">
        <f>"4574674200956001"</f>
        <v>4574674200956001</v>
      </c>
      <c r="F24" t="str">
        <f>"242"</f>
        <v>242</v>
      </c>
      <c r="G24">
        <v>1</v>
      </c>
      <c r="H24">
        <v>2023</v>
      </c>
      <c r="I24" t="s">
        <v>139</v>
      </c>
    </row>
    <row r="25" spans="1:9" x14ac:dyDescent="0.3">
      <c r="A25" t="s">
        <v>10119</v>
      </c>
      <c r="B25" t="s">
        <v>11</v>
      </c>
      <c r="C25">
        <v>7648876604</v>
      </c>
      <c r="D25" s="2">
        <v>1</v>
      </c>
      <c r="E25" t="str">
        <f>"4574674200428381"</f>
        <v>4574674200428381</v>
      </c>
      <c r="F25" t="str">
        <f>"885"</f>
        <v>885</v>
      </c>
      <c r="G25">
        <v>1</v>
      </c>
      <c r="H25">
        <v>2023</v>
      </c>
      <c r="I25" t="s">
        <v>140</v>
      </c>
    </row>
    <row r="26" spans="1:9" x14ac:dyDescent="0.3">
      <c r="A26" t="s">
        <v>10119</v>
      </c>
      <c r="B26" t="s">
        <v>11</v>
      </c>
      <c r="C26">
        <v>7648876604</v>
      </c>
      <c r="D26" s="2">
        <v>1</v>
      </c>
      <c r="E26" t="str">
        <f>"4574674200956076"</f>
        <v>4574674200956076</v>
      </c>
      <c r="F26" t="str">
        <f>"067"</f>
        <v>067</v>
      </c>
      <c r="G26">
        <v>1</v>
      </c>
      <c r="H26">
        <v>2023</v>
      </c>
      <c r="I26" t="s">
        <v>141</v>
      </c>
    </row>
    <row r="27" spans="1:9" x14ac:dyDescent="0.3">
      <c r="A27" t="s">
        <v>10119</v>
      </c>
      <c r="B27" t="s">
        <v>11</v>
      </c>
      <c r="C27">
        <v>7648876604</v>
      </c>
      <c r="D27" s="2">
        <v>1</v>
      </c>
      <c r="E27" t="str">
        <f>"4574674200428605"</f>
        <v>4574674200428605</v>
      </c>
      <c r="F27" t="str">
        <f>"967"</f>
        <v>967</v>
      </c>
      <c r="G27">
        <v>1</v>
      </c>
      <c r="H27">
        <v>2023</v>
      </c>
      <c r="I27" t="s">
        <v>142</v>
      </c>
    </row>
    <row r="28" spans="1:9" x14ac:dyDescent="0.3">
      <c r="A28" t="s">
        <v>10119</v>
      </c>
      <c r="B28" t="s">
        <v>11</v>
      </c>
      <c r="C28">
        <v>7648876604</v>
      </c>
      <c r="D28" s="2">
        <v>1</v>
      </c>
      <c r="E28" t="str">
        <f>"4574674200428845"</f>
        <v>4574674200428845</v>
      </c>
      <c r="F28" t="str">
        <f>"970"</f>
        <v>970</v>
      </c>
      <c r="G28">
        <v>1</v>
      </c>
      <c r="H28">
        <v>2023</v>
      </c>
      <c r="I28" t="s">
        <v>143</v>
      </c>
    </row>
    <row r="29" spans="1:9" x14ac:dyDescent="0.3">
      <c r="A29" t="s">
        <v>10119</v>
      </c>
      <c r="B29" t="s">
        <v>11</v>
      </c>
      <c r="C29">
        <v>7648876604</v>
      </c>
      <c r="D29" s="2">
        <v>1</v>
      </c>
      <c r="E29" t="str">
        <f>"4574674200956100"</f>
        <v>4574674200956100</v>
      </c>
      <c r="F29" t="str">
        <f>"951"</f>
        <v>951</v>
      </c>
      <c r="G29">
        <v>1</v>
      </c>
      <c r="H29">
        <v>2023</v>
      </c>
      <c r="I29" t="s">
        <v>144</v>
      </c>
    </row>
    <row r="30" spans="1:9" x14ac:dyDescent="0.3">
      <c r="A30" t="s">
        <v>10119</v>
      </c>
      <c r="B30" t="s">
        <v>11</v>
      </c>
      <c r="C30">
        <v>7648876604</v>
      </c>
      <c r="D30" s="2">
        <v>1</v>
      </c>
      <c r="E30" t="str">
        <f>"4574674200428688"</f>
        <v>4574674200428688</v>
      </c>
      <c r="F30" t="str">
        <f>"993"</f>
        <v>993</v>
      </c>
      <c r="G30">
        <v>1</v>
      </c>
      <c r="H30">
        <v>2023</v>
      </c>
      <c r="I30" t="s">
        <v>145</v>
      </c>
    </row>
    <row r="31" spans="1:9" x14ac:dyDescent="0.3">
      <c r="A31" t="s">
        <v>10119</v>
      </c>
      <c r="B31" t="s">
        <v>11</v>
      </c>
      <c r="C31">
        <v>7648876604</v>
      </c>
      <c r="D31" s="2">
        <v>1</v>
      </c>
      <c r="E31" t="str">
        <f>"4574674200956126"</f>
        <v>4574674200956126</v>
      </c>
      <c r="F31" t="str">
        <f>"547"</f>
        <v>547</v>
      </c>
      <c r="G31">
        <v>1</v>
      </c>
      <c r="H31">
        <v>2023</v>
      </c>
      <c r="I31" t="s">
        <v>146</v>
      </c>
    </row>
    <row r="32" spans="1:9" x14ac:dyDescent="0.3">
      <c r="A32" t="s">
        <v>10120</v>
      </c>
      <c r="B32" t="s">
        <v>12</v>
      </c>
      <c r="C32">
        <v>7648876604</v>
      </c>
      <c r="D32" s="2">
        <v>1</v>
      </c>
      <c r="E32" t="str">
        <f>"4574674200428654"</f>
        <v>4574674200428654</v>
      </c>
      <c r="F32" t="str">
        <f>"108"</f>
        <v>108</v>
      </c>
      <c r="G32">
        <v>1</v>
      </c>
      <c r="H32">
        <v>2023</v>
      </c>
      <c r="I32" t="s">
        <v>147</v>
      </c>
    </row>
    <row r="33" spans="1:9" x14ac:dyDescent="0.3">
      <c r="A33" t="s">
        <v>10120</v>
      </c>
      <c r="B33" t="s">
        <v>12</v>
      </c>
      <c r="C33">
        <v>7648876604</v>
      </c>
      <c r="D33" s="2">
        <v>1</v>
      </c>
      <c r="E33" t="str">
        <f>"4574674200956142"</f>
        <v>4574674200956142</v>
      </c>
      <c r="F33" t="str">
        <f>"160"</f>
        <v>160</v>
      </c>
      <c r="G33">
        <v>1</v>
      </c>
      <c r="H33">
        <v>2023</v>
      </c>
      <c r="I33" t="s">
        <v>148</v>
      </c>
    </row>
    <row r="34" spans="1:9" x14ac:dyDescent="0.3">
      <c r="A34" t="s">
        <v>10120</v>
      </c>
      <c r="B34" t="s">
        <v>12</v>
      </c>
      <c r="C34">
        <v>7648876604</v>
      </c>
      <c r="D34" s="2">
        <v>1</v>
      </c>
      <c r="E34" t="str">
        <f>"4574674200956175"</f>
        <v>4574674200956175</v>
      </c>
      <c r="F34" t="str">
        <f>"169"</f>
        <v>169</v>
      </c>
      <c r="G34">
        <v>1</v>
      </c>
      <c r="H34">
        <v>2023</v>
      </c>
      <c r="I34" t="s">
        <v>149</v>
      </c>
    </row>
    <row r="35" spans="1:9" x14ac:dyDescent="0.3">
      <c r="A35" t="s">
        <v>10120</v>
      </c>
      <c r="B35" t="s">
        <v>12</v>
      </c>
      <c r="C35">
        <v>7648876604</v>
      </c>
      <c r="D35" s="2">
        <v>1</v>
      </c>
      <c r="E35" t="str">
        <f>"4574674200956233"</f>
        <v>4574674200956233</v>
      </c>
      <c r="F35" t="str">
        <f>"242"</f>
        <v>242</v>
      </c>
      <c r="G35">
        <v>1</v>
      </c>
      <c r="H35">
        <v>2023</v>
      </c>
      <c r="I35" t="s">
        <v>150</v>
      </c>
    </row>
    <row r="36" spans="1:9" x14ac:dyDescent="0.3">
      <c r="A36" t="s">
        <v>10120</v>
      </c>
      <c r="B36" t="s">
        <v>12</v>
      </c>
      <c r="C36">
        <v>7648876604</v>
      </c>
      <c r="D36" s="2">
        <v>1</v>
      </c>
      <c r="E36" t="str">
        <f>"4574674200428878"</f>
        <v>4574674200428878</v>
      </c>
      <c r="F36" t="str">
        <f>"291"</f>
        <v>291</v>
      </c>
      <c r="G36">
        <v>1</v>
      </c>
      <c r="H36">
        <v>2023</v>
      </c>
      <c r="I36" t="s">
        <v>151</v>
      </c>
    </row>
    <row r="37" spans="1:9" x14ac:dyDescent="0.3">
      <c r="A37" t="s">
        <v>10120</v>
      </c>
      <c r="B37" t="s">
        <v>12</v>
      </c>
      <c r="C37">
        <v>7648876604</v>
      </c>
      <c r="D37" s="2">
        <v>1</v>
      </c>
      <c r="E37" t="str">
        <f>"4574674200956274"</f>
        <v>4574674200956274</v>
      </c>
      <c r="F37" t="str">
        <f>"962"</f>
        <v>962</v>
      </c>
      <c r="G37">
        <v>1</v>
      </c>
      <c r="H37">
        <v>2023</v>
      </c>
      <c r="I37" t="s">
        <v>152</v>
      </c>
    </row>
    <row r="38" spans="1:9" x14ac:dyDescent="0.3">
      <c r="A38" t="s">
        <v>10120</v>
      </c>
      <c r="B38" t="s">
        <v>12</v>
      </c>
      <c r="C38">
        <v>7648876604</v>
      </c>
      <c r="D38" s="2">
        <v>1</v>
      </c>
      <c r="E38" t="str">
        <f>"4574674200428902"</f>
        <v>4574674200428902</v>
      </c>
      <c r="F38" t="str">
        <f>"552"</f>
        <v>552</v>
      </c>
      <c r="G38">
        <v>1</v>
      </c>
      <c r="H38">
        <v>2023</v>
      </c>
      <c r="I38" t="s">
        <v>153</v>
      </c>
    </row>
    <row r="39" spans="1:9" x14ac:dyDescent="0.3">
      <c r="A39" t="s">
        <v>10120</v>
      </c>
      <c r="B39" t="s">
        <v>12</v>
      </c>
      <c r="C39">
        <v>7648876604</v>
      </c>
      <c r="D39" s="2">
        <v>1</v>
      </c>
      <c r="E39" t="str">
        <f>"4574674200956266"</f>
        <v>4574674200956266</v>
      </c>
      <c r="F39" t="str">
        <f>"802"</f>
        <v>802</v>
      </c>
      <c r="G39">
        <v>1</v>
      </c>
      <c r="H39">
        <v>2023</v>
      </c>
      <c r="I39" t="s">
        <v>154</v>
      </c>
    </row>
    <row r="40" spans="1:9" x14ac:dyDescent="0.3">
      <c r="A40" t="s">
        <v>10120</v>
      </c>
      <c r="B40" t="s">
        <v>12</v>
      </c>
      <c r="C40">
        <v>7648876604</v>
      </c>
      <c r="D40" s="2">
        <v>1</v>
      </c>
      <c r="E40" t="str">
        <f>"4574674200428696"</f>
        <v>4574674200428696</v>
      </c>
      <c r="F40" t="str">
        <f>"102"</f>
        <v>102</v>
      </c>
      <c r="G40">
        <v>1</v>
      </c>
      <c r="H40">
        <v>2023</v>
      </c>
      <c r="I40" t="s">
        <v>155</v>
      </c>
    </row>
    <row r="41" spans="1:9" x14ac:dyDescent="0.3">
      <c r="A41" t="s">
        <v>10120</v>
      </c>
      <c r="B41" t="s">
        <v>12</v>
      </c>
      <c r="C41">
        <v>7648876604</v>
      </c>
      <c r="D41" s="2">
        <v>1</v>
      </c>
      <c r="E41" t="str">
        <f>"4574674200956290"</f>
        <v>4574674200956290</v>
      </c>
      <c r="F41" t="str">
        <f>"033"</f>
        <v>033</v>
      </c>
      <c r="G41">
        <v>1</v>
      </c>
      <c r="H41">
        <v>2023</v>
      </c>
      <c r="I41" t="s">
        <v>156</v>
      </c>
    </row>
    <row r="42" spans="1:9" x14ac:dyDescent="0.3">
      <c r="A42" t="s">
        <v>10121</v>
      </c>
      <c r="B42" t="s">
        <v>13</v>
      </c>
      <c r="C42">
        <v>7648876604</v>
      </c>
      <c r="D42" s="2">
        <v>1</v>
      </c>
      <c r="E42" t="str">
        <f>"4574674200428746"</f>
        <v>4574674200428746</v>
      </c>
      <c r="F42" t="str">
        <f>"307"</f>
        <v>307</v>
      </c>
      <c r="G42">
        <v>1</v>
      </c>
      <c r="H42">
        <v>2023</v>
      </c>
      <c r="I42" t="s">
        <v>157</v>
      </c>
    </row>
    <row r="43" spans="1:9" x14ac:dyDescent="0.3">
      <c r="A43" t="s">
        <v>10121</v>
      </c>
      <c r="B43" t="s">
        <v>13</v>
      </c>
      <c r="C43">
        <v>7648876604</v>
      </c>
      <c r="D43" s="2">
        <v>1</v>
      </c>
      <c r="E43" t="str">
        <f>"4574674200955144"</f>
        <v>4574674200955144</v>
      </c>
      <c r="F43" t="str">
        <f>"408"</f>
        <v>408</v>
      </c>
      <c r="G43">
        <v>1</v>
      </c>
      <c r="H43">
        <v>2023</v>
      </c>
      <c r="I43" t="s">
        <v>158</v>
      </c>
    </row>
    <row r="44" spans="1:9" x14ac:dyDescent="0.3">
      <c r="A44" t="s">
        <v>10121</v>
      </c>
      <c r="B44" t="s">
        <v>13</v>
      </c>
      <c r="C44">
        <v>7648876604</v>
      </c>
      <c r="D44" s="2">
        <v>1</v>
      </c>
      <c r="E44" t="str">
        <f>"4574674200429017"</f>
        <v>4574674200429017</v>
      </c>
      <c r="F44" t="str">
        <f>"228"</f>
        <v>228</v>
      </c>
      <c r="G44">
        <v>1</v>
      </c>
      <c r="H44">
        <v>2023</v>
      </c>
      <c r="I44" t="s">
        <v>159</v>
      </c>
    </row>
    <row r="45" spans="1:9" x14ac:dyDescent="0.3">
      <c r="A45" t="s">
        <v>10121</v>
      </c>
      <c r="B45" t="s">
        <v>13</v>
      </c>
      <c r="C45">
        <v>7648876604</v>
      </c>
      <c r="D45" s="2">
        <v>1</v>
      </c>
      <c r="E45" t="str">
        <f>"4574674200956324"</f>
        <v>4574674200956324</v>
      </c>
      <c r="F45" t="str">
        <f>"581"</f>
        <v>581</v>
      </c>
      <c r="G45">
        <v>1</v>
      </c>
      <c r="H45">
        <v>2023</v>
      </c>
      <c r="I45" t="s">
        <v>160</v>
      </c>
    </row>
    <row r="46" spans="1:9" x14ac:dyDescent="0.3">
      <c r="A46" t="s">
        <v>10121</v>
      </c>
      <c r="B46" t="s">
        <v>13</v>
      </c>
      <c r="C46">
        <v>7648876604</v>
      </c>
      <c r="D46" s="2">
        <v>1</v>
      </c>
      <c r="E46" t="str">
        <f>"4574674200429033"</f>
        <v>4574674200429033</v>
      </c>
      <c r="F46" t="str">
        <f>"179"</f>
        <v>179</v>
      </c>
      <c r="G46">
        <v>1</v>
      </c>
      <c r="H46">
        <v>2023</v>
      </c>
      <c r="I46" t="s">
        <v>161</v>
      </c>
    </row>
    <row r="47" spans="1:9" x14ac:dyDescent="0.3">
      <c r="A47" t="s">
        <v>10121</v>
      </c>
      <c r="B47" t="s">
        <v>13</v>
      </c>
      <c r="C47">
        <v>7648876604</v>
      </c>
      <c r="D47" s="2">
        <v>1</v>
      </c>
      <c r="E47" t="str">
        <f>"4574674200956316"</f>
        <v>4574674200956316</v>
      </c>
      <c r="F47" t="str">
        <f>"620"</f>
        <v>620</v>
      </c>
      <c r="G47">
        <v>1</v>
      </c>
      <c r="H47">
        <v>2023</v>
      </c>
      <c r="I47" t="s">
        <v>162</v>
      </c>
    </row>
    <row r="48" spans="1:9" x14ac:dyDescent="0.3">
      <c r="A48" t="s">
        <v>10121</v>
      </c>
      <c r="B48" t="s">
        <v>13</v>
      </c>
      <c r="C48">
        <v>7648876604</v>
      </c>
      <c r="D48" s="2">
        <v>1</v>
      </c>
      <c r="E48" t="str">
        <f>"4574674200956365"</f>
        <v>4574674200956365</v>
      </c>
      <c r="F48" t="str">
        <f>"480"</f>
        <v>480</v>
      </c>
      <c r="G48">
        <v>1</v>
      </c>
      <c r="H48">
        <v>2023</v>
      </c>
      <c r="I48" t="s">
        <v>163</v>
      </c>
    </row>
    <row r="49" spans="1:9" x14ac:dyDescent="0.3">
      <c r="A49" t="s">
        <v>10121</v>
      </c>
      <c r="B49" t="s">
        <v>13</v>
      </c>
      <c r="C49">
        <v>7648876604</v>
      </c>
      <c r="D49" s="2">
        <v>1</v>
      </c>
      <c r="E49" t="str">
        <f>"4574674200428977"</f>
        <v>4574674200428977</v>
      </c>
      <c r="F49" t="str">
        <f>"013"</f>
        <v>013</v>
      </c>
      <c r="G49">
        <v>1</v>
      </c>
      <c r="H49">
        <v>2023</v>
      </c>
      <c r="I49" t="s">
        <v>164</v>
      </c>
    </row>
    <row r="50" spans="1:9" x14ac:dyDescent="0.3">
      <c r="A50" t="s">
        <v>10121</v>
      </c>
      <c r="B50" t="s">
        <v>13</v>
      </c>
      <c r="C50">
        <v>7648876604</v>
      </c>
      <c r="D50" s="2">
        <v>1</v>
      </c>
      <c r="E50" t="str">
        <f>"4574674200956464"</f>
        <v>4574674200956464</v>
      </c>
      <c r="F50" t="str">
        <f>"829"</f>
        <v>829</v>
      </c>
      <c r="G50">
        <v>1</v>
      </c>
      <c r="H50">
        <v>2023</v>
      </c>
      <c r="I50" t="s">
        <v>165</v>
      </c>
    </row>
    <row r="51" spans="1:9" x14ac:dyDescent="0.3">
      <c r="A51" t="s">
        <v>10121</v>
      </c>
      <c r="B51" t="s">
        <v>13</v>
      </c>
      <c r="C51">
        <v>7648876604</v>
      </c>
      <c r="D51" s="2">
        <v>1</v>
      </c>
      <c r="E51" t="str">
        <f>"4574674200429207"</f>
        <v>4574674200429207</v>
      </c>
      <c r="F51" t="str">
        <f>"027"</f>
        <v>027</v>
      </c>
      <c r="G51">
        <v>1</v>
      </c>
      <c r="H51">
        <v>2023</v>
      </c>
      <c r="I51" t="s">
        <v>166</v>
      </c>
    </row>
    <row r="52" spans="1:9" x14ac:dyDescent="0.3">
      <c r="A52" t="s">
        <v>10122</v>
      </c>
      <c r="B52" t="s">
        <v>14</v>
      </c>
      <c r="C52">
        <v>7648876604</v>
      </c>
      <c r="D52" s="2">
        <v>1</v>
      </c>
      <c r="E52" t="str">
        <f>"4574674200956449"</f>
        <v>4574674200956449</v>
      </c>
      <c r="F52" t="str">
        <f>"106"</f>
        <v>106</v>
      </c>
      <c r="G52">
        <v>1</v>
      </c>
      <c r="H52">
        <v>2023</v>
      </c>
      <c r="I52" t="s">
        <v>167</v>
      </c>
    </row>
    <row r="53" spans="1:9" x14ac:dyDescent="0.3">
      <c r="A53" t="s">
        <v>10122</v>
      </c>
      <c r="B53" t="s">
        <v>14</v>
      </c>
      <c r="C53">
        <v>7648876604</v>
      </c>
      <c r="D53" s="2">
        <v>1</v>
      </c>
      <c r="E53" t="str">
        <f>"4574674200956431"</f>
        <v>4574674200956431</v>
      </c>
      <c r="F53" t="str">
        <f>"403"</f>
        <v>403</v>
      </c>
      <c r="G53">
        <v>1</v>
      </c>
      <c r="H53">
        <v>2023</v>
      </c>
      <c r="I53" t="s">
        <v>168</v>
      </c>
    </row>
    <row r="54" spans="1:9" x14ac:dyDescent="0.3">
      <c r="A54" t="s">
        <v>10122</v>
      </c>
      <c r="B54" t="s">
        <v>14</v>
      </c>
      <c r="C54">
        <v>7648876604</v>
      </c>
      <c r="D54" s="2">
        <v>1</v>
      </c>
      <c r="E54" t="str">
        <f>"4574674200429223"</f>
        <v>4574674200429223</v>
      </c>
      <c r="F54" t="str">
        <f>"095"</f>
        <v>095</v>
      </c>
      <c r="G54">
        <v>1</v>
      </c>
      <c r="H54">
        <v>2023</v>
      </c>
      <c r="I54" t="s">
        <v>169</v>
      </c>
    </row>
    <row r="55" spans="1:9" x14ac:dyDescent="0.3">
      <c r="A55" t="s">
        <v>10122</v>
      </c>
      <c r="B55" t="s">
        <v>14</v>
      </c>
      <c r="C55">
        <v>7648876604</v>
      </c>
      <c r="D55" s="2">
        <v>1</v>
      </c>
      <c r="E55" t="str">
        <f>"4574674200956472"</f>
        <v>4574674200956472</v>
      </c>
      <c r="F55" t="str">
        <f>"063"</f>
        <v>063</v>
      </c>
      <c r="G55">
        <v>1</v>
      </c>
      <c r="H55">
        <v>2023</v>
      </c>
      <c r="I55" t="s">
        <v>170</v>
      </c>
    </row>
    <row r="56" spans="1:9" x14ac:dyDescent="0.3">
      <c r="A56" t="s">
        <v>10122</v>
      </c>
      <c r="B56" t="s">
        <v>14</v>
      </c>
      <c r="C56">
        <v>7648876604</v>
      </c>
      <c r="D56" s="2">
        <v>1</v>
      </c>
      <c r="E56" t="str">
        <f>"4574674200429231"</f>
        <v>4574674200429231</v>
      </c>
      <c r="F56" t="str">
        <f>"891"</f>
        <v>891</v>
      </c>
      <c r="G56">
        <v>1</v>
      </c>
      <c r="H56">
        <v>2023</v>
      </c>
      <c r="I56" t="s">
        <v>171</v>
      </c>
    </row>
    <row r="57" spans="1:9" x14ac:dyDescent="0.3">
      <c r="A57" t="s">
        <v>10122</v>
      </c>
      <c r="B57" t="s">
        <v>14</v>
      </c>
      <c r="C57">
        <v>7648876604</v>
      </c>
      <c r="D57" s="2">
        <v>1</v>
      </c>
      <c r="E57" t="str">
        <f>"4574674200956514"</f>
        <v>4574674200956514</v>
      </c>
      <c r="F57" t="str">
        <f>"432"</f>
        <v>432</v>
      </c>
      <c r="G57">
        <v>1</v>
      </c>
      <c r="H57">
        <v>2023</v>
      </c>
      <c r="I57" t="s">
        <v>172</v>
      </c>
    </row>
    <row r="58" spans="1:9" x14ac:dyDescent="0.3">
      <c r="A58" t="s">
        <v>10122</v>
      </c>
      <c r="B58" t="s">
        <v>14</v>
      </c>
      <c r="C58">
        <v>7648876604</v>
      </c>
      <c r="D58" s="2">
        <v>1</v>
      </c>
      <c r="E58" t="str">
        <f>"4574674200429082"</f>
        <v>4574674200429082</v>
      </c>
      <c r="F58" t="str">
        <f>"110"</f>
        <v>110</v>
      </c>
      <c r="G58">
        <v>1</v>
      </c>
      <c r="H58">
        <v>2023</v>
      </c>
      <c r="I58" t="s">
        <v>173</v>
      </c>
    </row>
    <row r="59" spans="1:9" x14ac:dyDescent="0.3">
      <c r="A59" t="s">
        <v>10122</v>
      </c>
      <c r="B59" t="s">
        <v>14</v>
      </c>
      <c r="C59">
        <v>7648876604</v>
      </c>
      <c r="D59" s="2">
        <v>1</v>
      </c>
      <c r="E59" t="str">
        <f>"4574674200956555"</f>
        <v>4574674200956555</v>
      </c>
      <c r="F59" t="str">
        <f>"192"</f>
        <v>192</v>
      </c>
      <c r="G59">
        <v>1</v>
      </c>
      <c r="H59">
        <v>2023</v>
      </c>
      <c r="I59" t="s">
        <v>174</v>
      </c>
    </row>
    <row r="60" spans="1:9" x14ac:dyDescent="0.3">
      <c r="A60" t="s">
        <v>10122</v>
      </c>
      <c r="B60" t="s">
        <v>14</v>
      </c>
      <c r="C60">
        <v>7648876604</v>
      </c>
      <c r="D60" s="2">
        <v>1</v>
      </c>
      <c r="E60" t="str">
        <f>"4574674200429157"</f>
        <v>4574674200429157</v>
      </c>
      <c r="F60" t="str">
        <f>"688"</f>
        <v>688</v>
      </c>
      <c r="G60">
        <v>1</v>
      </c>
      <c r="H60">
        <v>2023</v>
      </c>
      <c r="I60" t="s">
        <v>175</v>
      </c>
    </row>
    <row r="61" spans="1:9" x14ac:dyDescent="0.3">
      <c r="A61" t="s">
        <v>10122</v>
      </c>
      <c r="B61" t="s">
        <v>14</v>
      </c>
      <c r="C61">
        <v>7648876604</v>
      </c>
      <c r="D61" s="2">
        <v>1</v>
      </c>
      <c r="E61" t="str">
        <f>"4574674200956597"</f>
        <v>4574674200956597</v>
      </c>
      <c r="F61" t="str">
        <f>"509"</f>
        <v>509</v>
      </c>
      <c r="G61">
        <v>1</v>
      </c>
      <c r="H61">
        <v>2023</v>
      </c>
      <c r="I61" t="s">
        <v>176</v>
      </c>
    </row>
    <row r="62" spans="1:9" x14ac:dyDescent="0.3">
      <c r="A62" t="s">
        <v>10123</v>
      </c>
      <c r="B62" t="s">
        <v>15</v>
      </c>
      <c r="C62">
        <v>7648876604</v>
      </c>
      <c r="D62" s="2">
        <v>1</v>
      </c>
      <c r="E62" t="str">
        <f>"4574674200429199"</f>
        <v>4574674200429199</v>
      </c>
      <c r="F62" t="str">
        <f>"980"</f>
        <v>980</v>
      </c>
      <c r="G62">
        <v>1</v>
      </c>
      <c r="H62">
        <v>2023</v>
      </c>
      <c r="I62" t="s">
        <v>177</v>
      </c>
    </row>
    <row r="63" spans="1:9" x14ac:dyDescent="0.3">
      <c r="A63" t="s">
        <v>10123</v>
      </c>
      <c r="B63" t="s">
        <v>15</v>
      </c>
      <c r="C63">
        <v>7648876604</v>
      </c>
      <c r="D63" s="2">
        <v>1</v>
      </c>
      <c r="E63" t="str">
        <f>"4574674200429280"</f>
        <v>4574674200429280</v>
      </c>
      <c r="F63" t="str">
        <f>"028"</f>
        <v>028</v>
      </c>
      <c r="G63">
        <v>1</v>
      </c>
      <c r="H63">
        <v>2023</v>
      </c>
      <c r="I63" t="s">
        <v>178</v>
      </c>
    </row>
    <row r="64" spans="1:9" x14ac:dyDescent="0.3">
      <c r="A64" t="s">
        <v>10123</v>
      </c>
      <c r="B64" t="s">
        <v>15</v>
      </c>
      <c r="C64">
        <v>7648876604</v>
      </c>
      <c r="D64" s="2">
        <v>1</v>
      </c>
      <c r="E64" t="str">
        <f>"4574674200956621"</f>
        <v>4574674200956621</v>
      </c>
      <c r="F64" t="str">
        <f>"786"</f>
        <v>786</v>
      </c>
      <c r="G64">
        <v>1</v>
      </c>
      <c r="H64">
        <v>2023</v>
      </c>
      <c r="I64" t="s">
        <v>179</v>
      </c>
    </row>
    <row r="65" spans="1:9" x14ac:dyDescent="0.3">
      <c r="A65" t="s">
        <v>10123</v>
      </c>
      <c r="B65" t="s">
        <v>15</v>
      </c>
      <c r="C65">
        <v>7648876604</v>
      </c>
      <c r="D65" s="2">
        <v>1</v>
      </c>
      <c r="E65" t="str">
        <f>"4574674200429322"</f>
        <v>4574674200429322</v>
      </c>
      <c r="F65" t="str">
        <f>"567"</f>
        <v>567</v>
      </c>
      <c r="G65">
        <v>1</v>
      </c>
      <c r="H65">
        <v>2023</v>
      </c>
      <c r="I65" t="s">
        <v>180</v>
      </c>
    </row>
    <row r="66" spans="1:9" x14ac:dyDescent="0.3">
      <c r="A66" t="s">
        <v>10123</v>
      </c>
      <c r="B66" t="s">
        <v>15</v>
      </c>
      <c r="C66">
        <v>7648876604</v>
      </c>
      <c r="D66" s="2">
        <v>1</v>
      </c>
      <c r="E66" t="str">
        <f>"4574674200955185"</f>
        <v>4574674200955185</v>
      </c>
      <c r="F66" t="str">
        <f>"857"</f>
        <v>857</v>
      </c>
      <c r="G66">
        <v>1</v>
      </c>
      <c r="H66">
        <v>2023</v>
      </c>
      <c r="I66" t="s">
        <v>181</v>
      </c>
    </row>
    <row r="67" spans="1:9" x14ac:dyDescent="0.3">
      <c r="A67" t="s">
        <v>10123</v>
      </c>
      <c r="B67" t="s">
        <v>15</v>
      </c>
      <c r="C67">
        <v>7648876604</v>
      </c>
      <c r="D67" s="2">
        <v>1</v>
      </c>
      <c r="E67" t="str">
        <f>"4574674200429405"</f>
        <v>4574674200429405</v>
      </c>
      <c r="F67" t="str">
        <f>"251"</f>
        <v>251</v>
      </c>
      <c r="G67">
        <v>1</v>
      </c>
      <c r="H67">
        <v>2023</v>
      </c>
      <c r="I67" t="s">
        <v>182</v>
      </c>
    </row>
    <row r="68" spans="1:9" x14ac:dyDescent="0.3">
      <c r="A68" t="s">
        <v>10123</v>
      </c>
      <c r="B68" t="s">
        <v>15</v>
      </c>
      <c r="C68">
        <v>7648876604</v>
      </c>
      <c r="D68" s="2">
        <v>1</v>
      </c>
      <c r="E68" t="str">
        <f>"4574674200956639"</f>
        <v>4574674200956639</v>
      </c>
      <c r="F68" t="str">
        <f>"342"</f>
        <v>342</v>
      </c>
      <c r="G68">
        <v>1</v>
      </c>
      <c r="H68">
        <v>2023</v>
      </c>
      <c r="I68" t="s">
        <v>183</v>
      </c>
    </row>
    <row r="69" spans="1:9" x14ac:dyDescent="0.3">
      <c r="A69" t="s">
        <v>10123</v>
      </c>
      <c r="B69" t="s">
        <v>15</v>
      </c>
      <c r="C69">
        <v>7648876604</v>
      </c>
      <c r="D69" s="2">
        <v>1</v>
      </c>
      <c r="E69" t="str">
        <f>"4574674200429348"</f>
        <v>4574674200429348</v>
      </c>
      <c r="F69" t="str">
        <f>"771"</f>
        <v>771</v>
      </c>
      <c r="G69">
        <v>1</v>
      </c>
      <c r="H69">
        <v>2023</v>
      </c>
      <c r="I69" t="s">
        <v>184</v>
      </c>
    </row>
    <row r="70" spans="1:9" x14ac:dyDescent="0.3">
      <c r="A70" t="s">
        <v>10123</v>
      </c>
      <c r="B70" t="s">
        <v>15</v>
      </c>
      <c r="C70">
        <v>7648876604</v>
      </c>
      <c r="D70" s="2">
        <v>1</v>
      </c>
      <c r="E70" t="str">
        <f>"4574674200956647"</f>
        <v>4574674200956647</v>
      </c>
      <c r="F70" t="str">
        <f>"837"</f>
        <v>837</v>
      </c>
      <c r="G70">
        <v>1</v>
      </c>
      <c r="H70">
        <v>2023</v>
      </c>
      <c r="I70" t="s">
        <v>185</v>
      </c>
    </row>
    <row r="71" spans="1:9" x14ac:dyDescent="0.3">
      <c r="A71" t="s">
        <v>10123</v>
      </c>
      <c r="B71" t="s">
        <v>15</v>
      </c>
      <c r="C71">
        <v>7648876604</v>
      </c>
      <c r="D71" s="2">
        <v>1</v>
      </c>
      <c r="E71" t="str">
        <f>"4574674200429413"</f>
        <v>4574674200429413</v>
      </c>
      <c r="F71" t="str">
        <f>"263"</f>
        <v>263</v>
      </c>
      <c r="G71">
        <v>1</v>
      </c>
      <c r="H71">
        <v>2023</v>
      </c>
      <c r="I71" t="s">
        <v>186</v>
      </c>
    </row>
    <row r="72" spans="1:9" x14ac:dyDescent="0.3">
      <c r="A72" t="s">
        <v>10124</v>
      </c>
      <c r="B72" t="s">
        <v>16</v>
      </c>
      <c r="C72">
        <v>7648876604</v>
      </c>
      <c r="D72" s="2">
        <v>1</v>
      </c>
      <c r="E72" t="str">
        <f>"4574674200956670"</f>
        <v>4574674200956670</v>
      </c>
      <c r="F72" t="str">
        <f>"768"</f>
        <v>768</v>
      </c>
      <c r="G72">
        <v>1</v>
      </c>
      <c r="H72">
        <v>2023</v>
      </c>
      <c r="I72" t="s">
        <v>187</v>
      </c>
    </row>
    <row r="73" spans="1:9" x14ac:dyDescent="0.3">
      <c r="A73" t="s">
        <v>10124</v>
      </c>
      <c r="B73" t="s">
        <v>16</v>
      </c>
      <c r="C73">
        <v>7648876604</v>
      </c>
      <c r="D73" s="2">
        <v>1</v>
      </c>
      <c r="E73" t="str">
        <f>"4574674200956688"</f>
        <v>4574674200956688</v>
      </c>
      <c r="F73" t="str">
        <f>"079"</f>
        <v>079</v>
      </c>
      <c r="G73">
        <v>1</v>
      </c>
      <c r="H73">
        <v>2023</v>
      </c>
      <c r="I73" t="s">
        <v>188</v>
      </c>
    </row>
    <row r="74" spans="1:9" x14ac:dyDescent="0.3">
      <c r="A74" t="s">
        <v>10124</v>
      </c>
      <c r="B74" t="s">
        <v>16</v>
      </c>
      <c r="C74">
        <v>7648876604</v>
      </c>
      <c r="D74" s="2">
        <v>1</v>
      </c>
      <c r="E74" t="str">
        <f>"4574674200956787"</f>
        <v>4574674200956787</v>
      </c>
      <c r="F74" t="str">
        <f>"452"</f>
        <v>452</v>
      </c>
      <c r="G74">
        <v>1</v>
      </c>
      <c r="H74">
        <v>2023</v>
      </c>
      <c r="I74" t="s">
        <v>189</v>
      </c>
    </row>
    <row r="75" spans="1:9" x14ac:dyDescent="0.3">
      <c r="A75" t="s">
        <v>10124</v>
      </c>
      <c r="B75" t="s">
        <v>16</v>
      </c>
      <c r="C75">
        <v>7648876604</v>
      </c>
      <c r="D75" s="2">
        <v>1</v>
      </c>
      <c r="E75" t="str">
        <f>"4574674200956795"</f>
        <v>4574674200956795</v>
      </c>
      <c r="F75" t="str">
        <f>"507"</f>
        <v>507</v>
      </c>
      <c r="G75">
        <v>1</v>
      </c>
      <c r="H75">
        <v>2023</v>
      </c>
      <c r="I75" t="s">
        <v>190</v>
      </c>
    </row>
    <row r="76" spans="1:9" x14ac:dyDescent="0.3">
      <c r="A76" t="s">
        <v>10124</v>
      </c>
      <c r="B76" t="s">
        <v>16</v>
      </c>
      <c r="C76">
        <v>7648876604</v>
      </c>
      <c r="D76" s="2">
        <v>1</v>
      </c>
      <c r="E76" t="str">
        <f>"4574674200957009"</f>
        <v>4574674200957009</v>
      </c>
      <c r="F76" t="str">
        <f>"619"</f>
        <v>619</v>
      </c>
      <c r="G76">
        <v>1</v>
      </c>
      <c r="H76">
        <v>2023</v>
      </c>
      <c r="I76" t="s">
        <v>191</v>
      </c>
    </row>
    <row r="77" spans="1:9" x14ac:dyDescent="0.3">
      <c r="A77" t="s">
        <v>10124</v>
      </c>
      <c r="B77" t="s">
        <v>16</v>
      </c>
      <c r="C77">
        <v>7648876604</v>
      </c>
      <c r="D77" s="2">
        <v>1</v>
      </c>
      <c r="E77" t="str">
        <f>"4574674200957033"</f>
        <v>4574674200957033</v>
      </c>
      <c r="F77" t="str">
        <f>"634"</f>
        <v>634</v>
      </c>
      <c r="G77">
        <v>1</v>
      </c>
      <c r="H77">
        <v>2023</v>
      </c>
      <c r="I77" t="s">
        <v>192</v>
      </c>
    </row>
    <row r="78" spans="1:9" x14ac:dyDescent="0.3">
      <c r="A78" t="s">
        <v>10124</v>
      </c>
      <c r="B78" t="s">
        <v>16</v>
      </c>
      <c r="C78">
        <v>7648876604</v>
      </c>
      <c r="D78" s="2">
        <v>1</v>
      </c>
      <c r="E78" t="str">
        <f>"4574674200957066"</f>
        <v>4574674200957066</v>
      </c>
      <c r="F78" t="str">
        <f>"505"</f>
        <v>505</v>
      </c>
      <c r="G78">
        <v>1</v>
      </c>
      <c r="H78">
        <v>2023</v>
      </c>
      <c r="I78" t="s">
        <v>193</v>
      </c>
    </row>
    <row r="79" spans="1:9" x14ac:dyDescent="0.3">
      <c r="A79" t="s">
        <v>10124</v>
      </c>
      <c r="B79" t="s">
        <v>16</v>
      </c>
      <c r="C79">
        <v>7648876604</v>
      </c>
      <c r="D79" s="2">
        <v>1</v>
      </c>
      <c r="E79" t="str">
        <f>"4574674200957090"</f>
        <v>4574674200957090</v>
      </c>
      <c r="F79" t="str">
        <f>"738"</f>
        <v>738</v>
      </c>
      <c r="G79">
        <v>1</v>
      </c>
      <c r="H79">
        <v>2023</v>
      </c>
      <c r="I79" t="s">
        <v>194</v>
      </c>
    </row>
    <row r="80" spans="1:9" x14ac:dyDescent="0.3">
      <c r="A80" t="s">
        <v>10124</v>
      </c>
      <c r="B80" t="s">
        <v>16</v>
      </c>
      <c r="C80">
        <v>7648876604</v>
      </c>
      <c r="D80" s="2">
        <v>1</v>
      </c>
      <c r="E80" t="str">
        <f>"4574674200957157"</f>
        <v>4574674200957157</v>
      </c>
      <c r="F80" t="str">
        <f>"115"</f>
        <v>115</v>
      </c>
      <c r="G80">
        <v>1</v>
      </c>
      <c r="H80">
        <v>2023</v>
      </c>
      <c r="I80" t="s">
        <v>195</v>
      </c>
    </row>
    <row r="81" spans="1:9" x14ac:dyDescent="0.3">
      <c r="A81" t="s">
        <v>10124</v>
      </c>
      <c r="B81" t="s">
        <v>16</v>
      </c>
      <c r="C81">
        <v>7648876604</v>
      </c>
      <c r="D81" s="2">
        <v>1</v>
      </c>
      <c r="E81" t="str">
        <f>"4574674200957165"</f>
        <v>4574674200957165</v>
      </c>
      <c r="F81" t="str">
        <f>"247"</f>
        <v>247</v>
      </c>
      <c r="G81">
        <v>1</v>
      </c>
      <c r="H81">
        <v>2023</v>
      </c>
      <c r="I81" t="s">
        <v>196</v>
      </c>
    </row>
    <row r="82" spans="1:9" x14ac:dyDescent="0.3">
      <c r="A82" t="s">
        <v>10125</v>
      </c>
      <c r="B82" t="s">
        <v>17</v>
      </c>
      <c r="C82">
        <v>7648876604</v>
      </c>
      <c r="D82" s="2">
        <v>1</v>
      </c>
      <c r="E82" t="str">
        <f>"4574674200957199"</f>
        <v>4574674200957199</v>
      </c>
      <c r="F82" t="str">
        <f>"404"</f>
        <v>404</v>
      </c>
      <c r="G82">
        <v>1</v>
      </c>
      <c r="H82">
        <v>2023</v>
      </c>
      <c r="I82" t="s">
        <v>197</v>
      </c>
    </row>
    <row r="83" spans="1:9" x14ac:dyDescent="0.3">
      <c r="A83" t="s">
        <v>10125</v>
      </c>
      <c r="B83" t="s">
        <v>17</v>
      </c>
      <c r="C83">
        <v>7648876604</v>
      </c>
      <c r="D83" s="2">
        <v>1</v>
      </c>
      <c r="E83" t="str">
        <f>"4574674200956829"</f>
        <v>4574674200956829</v>
      </c>
      <c r="F83" t="str">
        <f>"544"</f>
        <v>544</v>
      </c>
      <c r="G83">
        <v>1</v>
      </c>
      <c r="H83">
        <v>2023</v>
      </c>
      <c r="I83" t="s">
        <v>198</v>
      </c>
    </row>
    <row r="84" spans="1:9" x14ac:dyDescent="0.3">
      <c r="A84" t="s">
        <v>10125</v>
      </c>
      <c r="B84" t="s">
        <v>17</v>
      </c>
      <c r="C84">
        <v>7648876604</v>
      </c>
      <c r="D84" s="2">
        <v>1</v>
      </c>
      <c r="E84" t="str">
        <f>"4574674200957215"</f>
        <v>4574674200957215</v>
      </c>
      <c r="F84" t="str">
        <f>"960"</f>
        <v>960</v>
      </c>
      <c r="G84">
        <v>1</v>
      </c>
      <c r="H84">
        <v>2023</v>
      </c>
      <c r="I84" t="s">
        <v>199</v>
      </c>
    </row>
    <row r="85" spans="1:9" x14ac:dyDescent="0.3">
      <c r="A85" t="s">
        <v>10125</v>
      </c>
      <c r="B85" t="s">
        <v>17</v>
      </c>
      <c r="C85">
        <v>7648876604</v>
      </c>
      <c r="D85" s="2">
        <v>1</v>
      </c>
      <c r="E85" t="str">
        <f>"4574674200957256"</f>
        <v>4574674200957256</v>
      </c>
      <c r="F85" t="str">
        <f>"963"</f>
        <v>963</v>
      </c>
      <c r="G85">
        <v>1</v>
      </c>
      <c r="H85">
        <v>2023</v>
      </c>
      <c r="I85" t="s">
        <v>200</v>
      </c>
    </row>
    <row r="86" spans="1:9" x14ac:dyDescent="0.3">
      <c r="A86" t="s">
        <v>10125</v>
      </c>
      <c r="B86" t="s">
        <v>17</v>
      </c>
      <c r="C86">
        <v>7648876604</v>
      </c>
      <c r="D86" s="2">
        <v>1</v>
      </c>
      <c r="E86" t="str">
        <f>"4574674200957264"</f>
        <v>4574674200957264</v>
      </c>
      <c r="F86" t="str">
        <f>"968"</f>
        <v>968</v>
      </c>
      <c r="G86">
        <v>1</v>
      </c>
      <c r="H86">
        <v>2023</v>
      </c>
      <c r="I86" t="s">
        <v>201</v>
      </c>
    </row>
    <row r="87" spans="1:9" x14ac:dyDescent="0.3">
      <c r="A87" t="s">
        <v>10125</v>
      </c>
      <c r="B87" t="s">
        <v>17</v>
      </c>
      <c r="C87">
        <v>7648876604</v>
      </c>
      <c r="D87" s="2">
        <v>1</v>
      </c>
      <c r="E87" t="str">
        <f>"4574674200957306"</f>
        <v>4574674200957306</v>
      </c>
      <c r="F87" t="str">
        <f>"832"</f>
        <v>832</v>
      </c>
      <c r="G87">
        <v>1</v>
      </c>
      <c r="H87">
        <v>2023</v>
      </c>
      <c r="I87" t="s">
        <v>202</v>
      </c>
    </row>
    <row r="88" spans="1:9" x14ac:dyDescent="0.3">
      <c r="A88" t="s">
        <v>10125</v>
      </c>
      <c r="B88" t="s">
        <v>17</v>
      </c>
      <c r="C88">
        <v>7648876604</v>
      </c>
      <c r="D88" s="2">
        <v>1</v>
      </c>
      <c r="E88" t="str">
        <f>"4574674200957355"</f>
        <v>4574674200957355</v>
      </c>
      <c r="F88" t="str">
        <f>"243"</f>
        <v>243</v>
      </c>
      <c r="G88">
        <v>1</v>
      </c>
      <c r="H88">
        <v>2023</v>
      </c>
      <c r="I88" t="s">
        <v>203</v>
      </c>
    </row>
    <row r="89" spans="1:9" x14ac:dyDescent="0.3">
      <c r="A89" t="s">
        <v>10125</v>
      </c>
      <c r="B89" t="s">
        <v>17</v>
      </c>
      <c r="C89">
        <v>7648876604</v>
      </c>
      <c r="D89" s="2">
        <v>1</v>
      </c>
      <c r="E89" t="str">
        <f>"4574674200957363"</f>
        <v>4574674200957363</v>
      </c>
      <c r="F89" t="str">
        <f>"585"</f>
        <v>585</v>
      </c>
      <c r="G89">
        <v>1</v>
      </c>
      <c r="H89">
        <v>2023</v>
      </c>
      <c r="I89" t="s">
        <v>204</v>
      </c>
    </row>
    <row r="90" spans="1:9" x14ac:dyDescent="0.3">
      <c r="A90" t="s">
        <v>10125</v>
      </c>
      <c r="B90" t="s">
        <v>17</v>
      </c>
      <c r="C90">
        <v>7648876604</v>
      </c>
      <c r="D90" s="2">
        <v>1</v>
      </c>
      <c r="E90" t="str">
        <f>"4574674200957413"</f>
        <v>4574674200957413</v>
      </c>
      <c r="F90" t="str">
        <f>"902"</f>
        <v>902</v>
      </c>
      <c r="G90">
        <v>1</v>
      </c>
      <c r="H90">
        <v>2023</v>
      </c>
      <c r="I90" t="s">
        <v>205</v>
      </c>
    </row>
    <row r="91" spans="1:9" x14ac:dyDescent="0.3">
      <c r="A91" t="s">
        <v>10125</v>
      </c>
      <c r="B91" t="s">
        <v>17</v>
      </c>
      <c r="C91">
        <v>7648876604</v>
      </c>
      <c r="D91" s="2">
        <v>1</v>
      </c>
      <c r="E91" t="str">
        <f>"4574674200957421"</f>
        <v>4574674200957421</v>
      </c>
      <c r="F91" t="str">
        <f>"471"</f>
        <v>471</v>
      </c>
      <c r="G91">
        <v>1</v>
      </c>
      <c r="H91">
        <v>2023</v>
      </c>
      <c r="I91" t="s">
        <v>206</v>
      </c>
    </row>
    <row r="92" spans="1:9" x14ac:dyDescent="0.3">
      <c r="A92" t="s">
        <v>10126</v>
      </c>
      <c r="B92" t="s">
        <v>18</v>
      </c>
      <c r="C92">
        <v>7648876604</v>
      </c>
      <c r="D92" s="2">
        <v>1</v>
      </c>
      <c r="E92" t="str">
        <f>"4574674200429488"</f>
        <v>4574674200429488</v>
      </c>
      <c r="F92" t="str">
        <f>"061"</f>
        <v>061</v>
      </c>
      <c r="G92">
        <v>1</v>
      </c>
      <c r="H92">
        <v>2023</v>
      </c>
      <c r="I92" t="s">
        <v>207</v>
      </c>
    </row>
    <row r="93" spans="1:9" x14ac:dyDescent="0.3">
      <c r="A93" t="s">
        <v>10126</v>
      </c>
      <c r="B93" t="s">
        <v>18</v>
      </c>
      <c r="C93">
        <v>7648876604</v>
      </c>
      <c r="D93" s="2">
        <v>1</v>
      </c>
      <c r="E93" t="str">
        <f>"4574674200957439"</f>
        <v>4574674200957439</v>
      </c>
      <c r="F93" t="str">
        <f>"568"</f>
        <v>568</v>
      </c>
      <c r="G93">
        <v>1</v>
      </c>
      <c r="H93">
        <v>2023</v>
      </c>
      <c r="I93" t="s">
        <v>208</v>
      </c>
    </row>
    <row r="94" spans="1:9" x14ac:dyDescent="0.3">
      <c r="A94" t="s">
        <v>10126</v>
      </c>
      <c r="B94" t="s">
        <v>18</v>
      </c>
      <c r="C94">
        <v>7648876604</v>
      </c>
      <c r="D94" s="2">
        <v>1</v>
      </c>
      <c r="E94" t="str">
        <f>"4574674200956860"</f>
        <v>4574674200956860</v>
      </c>
      <c r="F94" t="str">
        <f>"453"</f>
        <v>453</v>
      </c>
      <c r="G94">
        <v>1</v>
      </c>
      <c r="H94">
        <v>2023</v>
      </c>
      <c r="I94" t="s">
        <v>209</v>
      </c>
    </row>
    <row r="95" spans="1:9" x14ac:dyDescent="0.3">
      <c r="A95" t="s">
        <v>10126</v>
      </c>
      <c r="B95" t="s">
        <v>18</v>
      </c>
      <c r="C95">
        <v>7648876604</v>
      </c>
      <c r="D95" s="2">
        <v>1</v>
      </c>
      <c r="E95" t="str">
        <f>"4574674200957454"</f>
        <v>4574674200957454</v>
      </c>
      <c r="F95" t="str">
        <f>"982"</f>
        <v>982</v>
      </c>
      <c r="G95">
        <v>1</v>
      </c>
      <c r="H95">
        <v>2023</v>
      </c>
      <c r="I95" t="s">
        <v>210</v>
      </c>
    </row>
    <row r="96" spans="1:9" x14ac:dyDescent="0.3">
      <c r="A96" t="s">
        <v>10126</v>
      </c>
      <c r="B96" t="s">
        <v>18</v>
      </c>
      <c r="C96">
        <v>7648876604</v>
      </c>
      <c r="D96" s="2">
        <v>1</v>
      </c>
      <c r="E96" t="str">
        <f>"4574674200957496"</f>
        <v>4574674200957496</v>
      </c>
      <c r="F96" t="str">
        <f>"930"</f>
        <v>930</v>
      </c>
      <c r="G96">
        <v>1</v>
      </c>
      <c r="H96">
        <v>2023</v>
      </c>
      <c r="I96" t="s">
        <v>211</v>
      </c>
    </row>
    <row r="97" spans="1:9" x14ac:dyDescent="0.3">
      <c r="A97" t="s">
        <v>10126</v>
      </c>
      <c r="B97" t="s">
        <v>18</v>
      </c>
      <c r="C97">
        <v>7648876604</v>
      </c>
      <c r="D97" s="2">
        <v>1</v>
      </c>
      <c r="E97" t="str">
        <f>"4574674200429363"</f>
        <v>4574674200429363</v>
      </c>
      <c r="F97" t="str">
        <f>"504"</f>
        <v>504</v>
      </c>
      <c r="G97">
        <v>1</v>
      </c>
      <c r="H97">
        <v>2023</v>
      </c>
      <c r="I97" t="s">
        <v>212</v>
      </c>
    </row>
    <row r="98" spans="1:9" x14ac:dyDescent="0.3">
      <c r="A98" t="s">
        <v>10126</v>
      </c>
      <c r="B98" t="s">
        <v>18</v>
      </c>
      <c r="C98">
        <v>7648876604</v>
      </c>
      <c r="D98" s="2">
        <v>1</v>
      </c>
      <c r="E98" t="str">
        <f>"4574674200957546"</f>
        <v>4574674200957546</v>
      </c>
      <c r="F98" t="str">
        <f>"885"</f>
        <v>885</v>
      </c>
      <c r="G98">
        <v>1</v>
      </c>
      <c r="H98">
        <v>2023</v>
      </c>
      <c r="I98" t="s">
        <v>213</v>
      </c>
    </row>
    <row r="99" spans="1:9" x14ac:dyDescent="0.3">
      <c r="A99" t="s">
        <v>10126</v>
      </c>
      <c r="B99" t="s">
        <v>18</v>
      </c>
      <c r="C99">
        <v>7648876604</v>
      </c>
      <c r="D99" s="2">
        <v>1</v>
      </c>
      <c r="E99" t="str">
        <f>"4574674200957561"</f>
        <v>4574674200957561</v>
      </c>
      <c r="F99" t="str">
        <f>"143"</f>
        <v>143</v>
      </c>
      <c r="G99">
        <v>1</v>
      </c>
      <c r="H99">
        <v>2023</v>
      </c>
      <c r="I99" t="s">
        <v>214</v>
      </c>
    </row>
    <row r="100" spans="1:9" x14ac:dyDescent="0.3">
      <c r="A100" t="s">
        <v>10126</v>
      </c>
      <c r="B100" t="s">
        <v>18</v>
      </c>
      <c r="C100">
        <v>7648876604</v>
      </c>
      <c r="D100" s="2">
        <v>1</v>
      </c>
      <c r="E100" t="str">
        <f>"4574674200957595"</f>
        <v>4574674200957595</v>
      </c>
      <c r="F100" t="str">
        <f>"535"</f>
        <v>535</v>
      </c>
      <c r="G100">
        <v>1</v>
      </c>
      <c r="H100">
        <v>2023</v>
      </c>
      <c r="I100" t="s">
        <v>215</v>
      </c>
    </row>
    <row r="101" spans="1:9" x14ac:dyDescent="0.3">
      <c r="A101" t="s">
        <v>10126</v>
      </c>
      <c r="B101" t="s">
        <v>18</v>
      </c>
      <c r="C101">
        <v>7648876604</v>
      </c>
      <c r="D101" s="2">
        <v>1</v>
      </c>
      <c r="E101" t="str">
        <f>"4574674200429504"</f>
        <v>4574674200429504</v>
      </c>
      <c r="F101" t="str">
        <f>"530"</f>
        <v>530</v>
      </c>
      <c r="G101">
        <v>1</v>
      </c>
      <c r="H101">
        <v>2023</v>
      </c>
      <c r="I101" t="s">
        <v>216</v>
      </c>
    </row>
    <row r="102" spans="1:9" x14ac:dyDescent="0.3">
      <c r="A102" t="s">
        <v>10127</v>
      </c>
      <c r="B102" t="s">
        <v>19</v>
      </c>
      <c r="C102">
        <v>7648876604</v>
      </c>
      <c r="D102" s="2">
        <v>1</v>
      </c>
      <c r="E102" t="str">
        <f>"4574674200957611"</f>
        <v>4574674200957611</v>
      </c>
      <c r="F102" t="str">
        <f>"537"</f>
        <v>537</v>
      </c>
      <c r="G102">
        <v>1</v>
      </c>
      <c r="H102">
        <v>2023</v>
      </c>
      <c r="I102" t="s">
        <v>217</v>
      </c>
    </row>
    <row r="103" spans="1:9" x14ac:dyDescent="0.3">
      <c r="A103" t="s">
        <v>10127</v>
      </c>
      <c r="B103" t="s">
        <v>19</v>
      </c>
      <c r="C103">
        <v>7648876604</v>
      </c>
      <c r="D103" s="2">
        <v>1</v>
      </c>
      <c r="E103" t="str">
        <f>"4574674200957629"</f>
        <v>4574674200957629</v>
      </c>
      <c r="F103" t="str">
        <f>"751"</f>
        <v>751</v>
      </c>
      <c r="G103">
        <v>1</v>
      </c>
      <c r="H103">
        <v>2023</v>
      </c>
      <c r="I103" t="s">
        <v>218</v>
      </c>
    </row>
    <row r="104" spans="1:9" x14ac:dyDescent="0.3">
      <c r="A104" t="s">
        <v>10127</v>
      </c>
      <c r="B104" t="s">
        <v>19</v>
      </c>
      <c r="C104">
        <v>7648876604</v>
      </c>
      <c r="D104" s="2">
        <v>1</v>
      </c>
      <c r="E104" t="str">
        <f>"4574674200429520"</f>
        <v>4574674200429520</v>
      </c>
      <c r="F104" t="str">
        <f>"213"</f>
        <v>213</v>
      </c>
      <c r="G104">
        <v>1</v>
      </c>
      <c r="H104">
        <v>2023</v>
      </c>
      <c r="I104" t="s">
        <v>219</v>
      </c>
    </row>
    <row r="105" spans="1:9" x14ac:dyDescent="0.3">
      <c r="A105" t="s">
        <v>10127</v>
      </c>
      <c r="B105" t="s">
        <v>19</v>
      </c>
      <c r="C105">
        <v>7648876604</v>
      </c>
      <c r="D105" s="2">
        <v>1</v>
      </c>
      <c r="E105" t="str">
        <f>"4574674200957660"</f>
        <v>4574674200957660</v>
      </c>
      <c r="F105" t="str">
        <f>"148"</f>
        <v>148</v>
      </c>
      <c r="G105">
        <v>1</v>
      </c>
      <c r="H105">
        <v>2023</v>
      </c>
      <c r="I105" t="s">
        <v>220</v>
      </c>
    </row>
    <row r="106" spans="1:9" x14ac:dyDescent="0.3">
      <c r="A106" t="s">
        <v>10127</v>
      </c>
      <c r="B106" t="s">
        <v>19</v>
      </c>
      <c r="C106">
        <v>7648876604</v>
      </c>
      <c r="D106" s="2">
        <v>1</v>
      </c>
      <c r="E106" t="str">
        <f>"4574674200429512"</f>
        <v>4574674200429512</v>
      </c>
      <c r="F106" t="str">
        <f>"685"</f>
        <v>685</v>
      </c>
      <c r="G106">
        <v>1</v>
      </c>
      <c r="H106">
        <v>2023</v>
      </c>
      <c r="I106" t="s">
        <v>221</v>
      </c>
    </row>
    <row r="107" spans="1:9" x14ac:dyDescent="0.3">
      <c r="A107" t="s">
        <v>10127</v>
      </c>
      <c r="B107" t="s">
        <v>19</v>
      </c>
      <c r="C107">
        <v>7648876604</v>
      </c>
      <c r="D107" s="2">
        <v>1</v>
      </c>
      <c r="E107" t="str">
        <f>"4574674200957645"</f>
        <v>4574674200957645</v>
      </c>
      <c r="F107" t="str">
        <f>"812"</f>
        <v>812</v>
      </c>
      <c r="G107">
        <v>1</v>
      </c>
      <c r="H107">
        <v>2023</v>
      </c>
      <c r="I107" t="s">
        <v>222</v>
      </c>
    </row>
    <row r="108" spans="1:9" x14ac:dyDescent="0.3">
      <c r="A108" t="s">
        <v>10127</v>
      </c>
      <c r="B108" t="s">
        <v>19</v>
      </c>
      <c r="C108">
        <v>7648876604</v>
      </c>
      <c r="D108" s="2">
        <v>1</v>
      </c>
      <c r="E108" t="str">
        <f>"4574674200956894"</f>
        <v>4574674200956894</v>
      </c>
      <c r="F108" t="str">
        <f>"861"</f>
        <v>861</v>
      </c>
      <c r="G108">
        <v>1</v>
      </c>
      <c r="H108">
        <v>2023</v>
      </c>
      <c r="I108" t="s">
        <v>223</v>
      </c>
    </row>
    <row r="109" spans="1:9" x14ac:dyDescent="0.3">
      <c r="A109" t="s">
        <v>10127</v>
      </c>
      <c r="B109" t="s">
        <v>19</v>
      </c>
      <c r="C109">
        <v>7648876604</v>
      </c>
      <c r="D109" s="2">
        <v>1</v>
      </c>
      <c r="E109" t="str">
        <f>"4574674200429553"</f>
        <v>4574674200429553</v>
      </c>
      <c r="F109" t="str">
        <f>"476"</f>
        <v>476</v>
      </c>
      <c r="G109">
        <v>1</v>
      </c>
      <c r="H109">
        <v>2023</v>
      </c>
      <c r="I109" t="s">
        <v>224</v>
      </c>
    </row>
    <row r="110" spans="1:9" x14ac:dyDescent="0.3">
      <c r="A110" t="s">
        <v>10127</v>
      </c>
      <c r="B110" t="s">
        <v>19</v>
      </c>
      <c r="C110">
        <v>7648876604</v>
      </c>
      <c r="D110" s="2">
        <v>1</v>
      </c>
      <c r="E110" t="str">
        <f>"4574674200957751"</f>
        <v>4574674200957751</v>
      </c>
      <c r="F110" t="str">
        <f>"121"</f>
        <v>121</v>
      </c>
      <c r="G110">
        <v>1</v>
      </c>
      <c r="H110">
        <v>2023</v>
      </c>
      <c r="I110" t="s">
        <v>225</v>
      </c>
    </row>
    <row r="111" spans="1:9" x14ac:dyDescent="0.3">
      <c r="A111" t="s">
        <v>10127</v>
      </c>
      <c r="B111" t="s">
        <v>19</v>
      </c>
      <c r="C111">
        <v>7648876604</v>
      </c>
      <c r="D111" s="2">
        <v>1</v>
      </c>
      <c r="E111" t="str">
        <f>"4574674200957769"</f>
        <v>4574674200957769</v>
      </c>
      <c r="F111" t="str">
        <f>"303"</f>
        <v>303</v>
      </c>
      <c r="G111">
        <v>1</v>
      </c>
      <c r="H111">
        <v>2023</v>
      </c>
      <c r="I111" t="s">
        <v>226</v>
      </c>
    </row>
    <row r="112" spans="1:9" x14ac:dyDescent="0.3">
      <c r="A112" t="s">
        <v>10128</v>
      </c>
      <c r="B112" t="s">
        <v>20</v>
      </c>
      <c r="C112">
        <v>7648876604</v>
      </c>
      <c r="D112" s="2">
        <v>1</v>
      </c>
      <c r="E112" t="str">
        <f>"4574674200429397"</f>
        <v>4574674200429397</v>
      </c>
      <c r="F112" t="str">
        <f>"713"</f>
        <v>713</v>
      </c>
      <c r="G112">
        <v>1</v>
      </c>
      <c r="H112">
        <v>2023</v>
      </c>
      <c r="I112" t="s">
        <v>227</v>
      </c>
    </row>
    <row r="113" spans="1:9" x14ac:dyDescent="0.3">
      <c r="A113" t="s">
        <v>10128</v>
      </c>
      <c r="B113" t="s">
        <v>20</v>
      </c>
      <c r="C113">
        <v>7648876604</v>
      </c>
      <c r="D113" s="2">
        <v>1</v>
      </c>
      <c r="E113" t="str">
        <f>"4574674200957819"</f>
        <v>4574674200957819</v>
      </c>
      <c r="F113" t="str">
        <f>"529"</f>
        <v>529</v>
      </c>
      <c r="G113">
        <v>1</v>
      </c>
      <c r="H113">
        <v>2023</v>
      </c>
      <c r="I113" t="s">
        <v>228</v>
      </c>
    </row>
    <row r="114" spans="1:9" x14ac:dyDescent="0.3">
      <c r="A114" t="s">
        <v>10128</v>
      </c>
      <c r="B114" t="s">
        <v>20</v>
      </c>
      <c r="C114">
        <v>7648876604</v>
      </c>
      <c r="D114" s="2">
        <v>1</v>
      </c>
      <c r="E114" t="str">
        <f>"4574674200429652"</f>
        <v>4574674200429652</v>
      </c>
      <c r="F114" t="str">
        <f>"276"</f>
        <v>276</v>
      </c>
      <c r="G114">
        <v>1</v>
      </c>
      <c r="H114">
        <v>2023</v>
      </c>
      <c r="I114" t="s">
        <v>229</v>
      </c>
    </row>
    <row r="115" spans="1:9" x14ac:dyDescent="0.3">
      <c r="A115" t="s">
        <v>10128</v>
      </c>
      <c r="B115" t="s">
        <v>20</v>
      </c>
      <c r="C115">
        <v>7648876604</v>
      </c>
      <c r="D115" s="2">
        <v>1</v>
      </c>
      <c r="E115" t="str">
        <f>"4574674200957801"</f>
        <v>4574674200957801</v>
      </c>
      <c r="F115" t="str">
        <f>"569"</f>
        <v>569</v>
      </c>
      <c r="G115">
        <v>1</v>
      </c>
      <c r="H115">
        <v>2023</v>
      </c>
      <c r="I115" t="s">
        <v>230</v>
      </c>
    </row>
    <row r="116" spans="1:9" x14ac:dyDescent="0.3">
      <c r="A116" t="s">
        <v>10128</v>
      </c>
      <c r="B116" t="s">
        <v>20</v>
      </c>
      <c r="C116">
        <v>7648876604</v>
      </c>
      <c r="D116" s="2">
        <v>1</v>
      </c>
      <c r="E116" t="str">
        <f>"4574674200429710"</f>
        <v>4574674200429710</v>
      </c>
      <c r="F116" t="str">
        <f>"509"</f>
        <v>509</v>
      </c>
      <c r="G116">
        <v>1</v>
      </c>
      <c r="H116">
        <v>2023</v>
      </c>
      <c r="I116" t="s">
        <v>231</v>
      </c>
    </row>
    <row r="117" spans="1:9" x14ac:dyDescent="0.3">
      <c r="A117" t="s">
        <v>10128</v>
      </c>
      <c r="B117" t="s">
        <v>20</v>
      </c>
      <c r="C117">
        <v>7648876604</v>
      </c>
      <c r="D117" s="2">
        <v>1</v>
      </c>
      <c r="E117" t="str">
        <f>"4574674200957827"</f>
        <v>4574674200957827</v>
      </c>
      <c r="F117" t="str">
        <f>"470"</f>
        <v>470</v>
      </c>
      <c r="G117">
        <v>1</v>
      </c>
      <c r="H117">
        <v>2023</v>
      </c>
      <c r="I117" t="s">
        <v>232</v>
      </c>
    </row>
    <row r="118" spans="1:9" x14ac:dyDescent="0.3">
      <c r="A118" t="s">
        <v>10128</v>
      </c>
      <c r="B118" t="s">
        <v>20</v>
      </c>
      <c r="C118">
        <v>7648876604</v>
      </c>
      <c r="D118" s="2">
        <v>1</v>
      </c>
      <c r="E118" t="str">
        <f>"4574674200429744"</f>
        <v>4574674200429744</v>
      </c>
      <c r="F118" t="str">
        <f>"021"</f>
        <v>021</v>
      </c>
      <c r="G118">
        <v>1</v>
      </c>
      <c r="H118">
        <v>2023</v>
      </c>
      <c r="I118" t="s">
        <v>233</v>
      </c>
    </row>
    <row r="119" spans="1:9" x14ac:dyDescent="0.3">
      <c r="A119" t="s">
        <v>10128</v>
      </c>
      <c r="B119" t="s">
        <v>20</v>
      </c>
      <c r="C119">
        <v>7648876604</v>
      </c>
      <c r="D119" s="2">
        <v>1</v>
      </c>
      <c r="E119" t="str">
        <f>"4574674200957868"</f>
        <v>4574674200957868</v>
      </c>
      <c r="F119" t="str">
        <f>"601"</f>
        <v>601</v>
      </c>
      <c r="G119">
        <v>1</v>
      </c>
      <c r="H119">
        <v>2023</v>
      </c>
      <c r="I119" t="s">
        <v>234</v>
      </c>
    </row>
    <row r="120" spans="1:9" x14ac:dyDescent="0.3">
      <c r="A120" t="s">
        <v>10128</v>
      </c>
      <c r="B120" t="s">
        <v>20</v>
      </c>
      <c r="C120">
        <v>7648876604</v>
      </c>
      <c r="D120" s="2">
        <v>1</v>
      </c>
      <c r="E120" t="str">
        <f>"4574674200429900"</f>
        <v>4574674200429900</v>
      </c>
      <c r="F120" t="str">
        <f>"936"</f>
        <v>936</v>
      </c>
      <c r="G120">
        <v>1</v>
      </c>
      <c r="H120">
        <v>2023</v>
      </c>
      <c r="I120" t="s">
        <v>235</v>
      </c>
    </row>
    <row r="121" spans="1:9" x14ac:dyDescent="0.3">
      <c r="A121" t="s">
        <v>10128</v>
      </c>
      <c r="B121" t="s">
        <v>20</v>
      </c>
      <c r="C121">
        <v>7648876604</v>
      </c>
      <c r="D121" s="2">
        <v>1</v>
      </c>
      <c r="E121" t="str">
        <f>"4574674200957926"</f>
        <v>4574674200957926</v>
      </c>
      <c r="F121" t="str">
        <f>"827"</f>
        <v>827</v>
      </c>
      <c r="G121">
        <v>1</v>
      </c>
      <c r="H121">
        <v>2023</v>
      </c>
      <c r="I121" t="s">
        <v>236</v>
      </c>
    </row>
    <row r="122" spans="1:9" x14ac:dyDescent="0.3">
      <c r="A122" t="s">
        <v>10129</v>
      </c>
      <c r="B122" t="s">
        <v>21</v>
      </c>
      <c r="C122">
        <v>7648876604</v>
      </c>
      <c r="D122" s="2">
        <v>1</v>
      </c>
      <c r="E122" t="str">
        <f>"4574674200957942"</f>
        <v>4574674200957942</v>
      </c>
      <c r="F122" t="str">
        <f>"376"</f>
        <v>376</v>
      </c>
      <c r="G122">
        <v>1</v>
      </c>
      <c r="H122">
        <v>2023</v>
      </c>
      <c r="I122" t="s">
        <v>237</v>
      </c>
    </row>
    <row r="123" spans="1:9" x14ac:dyDescent="0.3">
      <c r="A123" t="s">
        <v>10129</v>
      </c>
      <c r="B123" t="s">
        <v>21</v>
      </c>
      <c r="C123">
        <v>7648876604</v>
      </c>
      <c r="D123" s="2">
        <v>1</v>
      </c>
      <c r="E123" t="str">
        <f>"4574674200430007"</f>
        <v>4574674200430007</v>
      </c>
      <c r="F123" t="str">
        <f>"910"</f>
        <v>910</v>
      </c>
      <c r="G123">
        <v>1</v>
      </c>
      <c r="H123">
        <v>2023</v>
      </c>
      <c r="I123" t="s">
        <v>238</v>
      </c>
    </row>
    <row r="124" spans="1:9" x14ac:dyDescent="0.3">
      <c r="A124" t="s">
        <v>10129</v>
      </c>
      <c r="B124" t="s">
        <v>21</v>
      </c>
      <c r="C124">
        <v>7648876604</v>
      </c>
      <c r="D124" s="2">
        <v>1</v>
      </c>
      <c r="E124" t="str">
        <f>"4574674200429967"</f>
        <v>4574674200429967</v>
      </c>
      <c r="F124" t="str">
        <f>"442"</f>
        <v>442</v>
      </c>
      <c r="G124">
        <v>1</v>
      </c>
      <c r="H124">
        <v>2023</v>
      </c>
      <c r="I124" t="s">
        <v>239</v>
      </c>
    </row>
    <row r="125" spans="1:9" x14ac:dyDescent="0.3">
      <c r="A125" t="s">
        <v>10129</v>
      </c>
      <c r="B125" t="s">
        <v>21</v>
      </c>
      <c r="C125">
        <v>7648876604</v>
      </c>
      <c r="D125" s="2">
        <v>1</v>
      </c>
      <c r="E125" t="str">
        <f>"4574674200957967"</f>
        <v>4574674200957967</v>
      </c>
      <c r="F125" t="str">
        <f>"793"</f>
        <v>793</v>
      </c>
      <c r="G125">
        <v>1</v>
      </c>
      <c r="H125">
        <v>2023</v>
      </c>
      <c r="I125" t="s">
        <v>240</v>
      </c>
    </row>
    <row r="126" spans="1:9" x14ac:dyDescent="0.3">
      <c r="A126" t="s">
        <v>10129</v>
      </c>
      <c r="B126" t="s">
        <v>21</v>
      </c>
      <c r="C126">
        <v>7648876604</v>
      </c>
      <c r="D126" s="2">
        <v>1</v>
      </c>
      <c r="E126" t="str">
        <f>"4574674200429975"</f>
        <v>4574674200429975</v>
      </c>
      <c r="F126" t="str">
        <f>"403"</f>
        <v>403</v>
      </c>
      <c r="G126">
        <v>1</v>
      </c>
      <c r="H126">
        <v>2023</v>
      </c>
      <c r="I126" t="s">
        <v>241</v>
      </c>
    </row>
    <row r="127" spans="1:9" x14ac:dyDescent="0.3">
      <c r="A127" t="s">
        <v>10129</v>
      </c>
      <c r="B127" t="s">
        <v>21</v>
      </c>
      <c r="C127">
        <v>7648876604</v>
      </c>
      <c r="D127" s="2">
        <v>1</v>
      </c>
      <c r="E127" t="str">
        <f>"4574674200956936"</f>
        <v>4574674200956936</v>
      </c>
      <c r="F127" t="str">
        <f>"335"</f>
        <v>335</v>
      </c>
      <c r="G127">
        <v>1</v>
      </c>
      <c r="H127">
        <v>2023</v>
      </c>
      <c r="I127" t="s">
        <v>242</v>
      </c>
    </row>
    <row r="128" spans="1:9" x14ac:dyDescent="0.3">
      <c r="A128" t="s">
        <v>10129</v>
      </c>
      <c r="B128" t="s">
        <v>21</v>
      </c>
      <c r="C128">
        <v>7648876604</v>
      </c>
      <c r="D128" s="2">
        <v>1</v>
      </c>
      <c r="E128" t="str">
        <f>"4574674200957983"</f>
        <v>4574674200957983</v>
      </c>
      <c r="F128" t="str">
        <f>"620"</f>
        <v>620</v>
      </c>
      <c r="G128">
        <v>1</v>
      </c>
      <c r="H128">
        <v>2023</v>
      </c>
      <c r="I128" t="s">
        <v>243</v>
      </c>
    </row>
    <row r="129" spans="1:9" x14ac:dyDescent="0.3">
      <c r="A129" t="s">
        <v>10129</v>
      </c>
      <c r="B129" t="s">
        <v>21</v>
      </c>
      <c r="C129">
        <v>7648876604</v>
      </c>
      <c r="D129" s="2">
        <v>1</v>
      </c>
      <c r="E129" t="str">
        <f>"4574674200430015"</f>
        <v>4574674200430015</v>
      </c>
      <c r="F129" t="str">
        <f>"649"</f>
        <v>649</v>
      </c>
      <c r="G129">
        <v>1</v>
      </c>
      <c r="H129">
        <v>2023</v>
      </c>
      <c r="I129" t="s">
        <v>244</v>
      </c>
    </row>
    <row r="130" spans="1:9" x14ac:dyDescent="0.3">
      <c r="A130" t="s">
        <v>10129</v>
      </c>
      <c r="B130" t="s">
        <v>21</v>
      </c>
      <c r="C130">
        <v>7648876604</v>
      </c>
      <c r="D130" s="2">
        <v>1</v>
      </c>
      <c r="E130" t="str">
        <f>"4574674200957991"</f>
        <v>4574674200957991</v>
      </c>
      <c r="F130" t="str">
        <f>"090"</f>
        <v>090</v>
      </c>
      <c r="G130">
        <v>1</v>
      </c>
      <c r="H130">
        <v>2023</v>
      </c>
      <c r="I130" t="s">
        <v>245</v>
      </c>
    </row>
    <row r="131" spans="1:9" x14ac:dyDescent="0.3">
      <c r="A131" t="s">
        <v>10129</v>
      </c>
      <c r="B131" t="s">
        <v>21</v>
      </c>
      <c r="C131">
        <v>7648876604</v>
      </c>
      <c r="D131" s="2">
        <v>1</v>
      </c>
      <c r="E131" t="str">
        <f>"4574674200958031"</f>
        <v>4574674200958031</v>
      </c>
      <c r="F131" t="str">
        <f>"801"</f>
        <v>801</v>
      </c>
      <c r="G131">
        <v>1</v>
      </c>
      <c r="H131">
        <v>2023</v>
      </c>
      <c r="I131" t="s">
        <v>246</v>
      </c>
    </row>
    <row r="132" spans="1:9" x14ac:dyDescent="0.3">
      <c r="A132" t="s">
        <v>10130</v>
      </c>
      <c r="B132" t="s">
        <v>22</v>
      </c>
      <c r="C132">
        <v>7648876604</v>
      </c>
      <c r="D132" s="2">
        <v>1</v>
      </c>
      <c r="E132" t="str">
        <f>"4574674200430064"</f>
        <v>4574674200430064</v>
      </c>
      <c r="F132" t="str">
        <f>"728"</f>
        <v>728</v>
      </c>
      <c r="G132">
        <v>1</v>
      </c>
      <c r="H132">
        <v>2023</v>
      </c>
      <c r="I132" t="s">
        <v>247</v>
      </c>
    </row>
    <row r="133" spans="1:9" x14ac:dyDescent="0.3">
      <c r="A133" t="s">
        <v>10130</v>
      </c>
      <c r="B133" t="s">
        <v>22</v>
      </c>
      <c r="C133">
        <v>7648876604</v>
      </c>
      <c r="D133" s="2">
        <v>1</v>
      </c>
      <c r="E133" t="str">
        <f>"4574674200958080"</f>
        <v>4574674200958080</v>
      </c>
      <c r="F133" t="str">
        <f>"312"</f>
        <v>312</v>
      </c>
      <c r="G133">
        <v>1</v>
      </c>
      <c r="H133">
        <v>2023</v>
      </c>
      <c r="I133" t="s">
        <v>248</v>
      </c>
    </row>
    <row r="134" spans="1:9" x14ac:dyDescent="0.3">
      <c r="A134" t="s">
        <v>10130</v>
      </c>
      <c r="B134" t="s">
        <v>22</v>
      </c>
      <c r="C134">
        <v>7648876604</v>
      </c>
      <c r="D134" s="2">
        <v>1</v>
      </c>
      <c r="E134" t="str">
        <f>"4574674200430213"</f>
        <v>4574674200430213</v>
      </c>
      <c r="F134" t="str">
        <f>"161"</f>
        <v>161</v>
      </c>
      <c r="G134">
        <v>1</v>
      </c>
      <c r="H134">
        <v>2023</v>
      </c>
      <c r="I134" t="s">
        <v>249</v>
      </c>
    </row>
    <row r="135" spans="1:9" x14ac:dyDescent="0.3">
      <c r="A135" t="s">
        <v>10130</v>
      </c>
      <c r="B135" t="s">
        <v>22</v>
      </c>
      <c r="C135">
        <v>7648876604</v>
      </c>
      <c r="D135" s="2">
        <v>1</v>
      </c>
      <c r="E135" t="str">
        <f>"4574674200430254"</f>
        <v>4574674200430254</v>
      </c>
      <c r="F135" t="str">
        <f>"775"</f>
        <v>775</v>
      </c>
      <c r="G135">
        <v>1</v>
      </c>
      <c r="H135">
        <v>2023</v>
      </c>
      <c r="I135" t="s">
        <v>250</v>
      </c>
    </row>
    <row r="136" spans="1:9" x14ac:dyDescent="0.3">
      <c r="A136" t="s">
        <v>10130</v>
      </c>
      <c r="B136" t="s">
        <v>22</v>
      </c>
      <c r="C136">
        <v>7648876604</v>
      </c>
      <c r="D136" s="2">
        <v>1</v>
      </c>
      <c r="E136" t="str">
        <f>"4574674200958106"</f>
        <v>4574674200958106</v>
      </c>
      <c r="F136" t="str">
        <f>"380"</f>
        <v>380</v>
      </c>
      <c r="G136">
        <v>1</v>
      </c>
      <c r="H136">
        <v>2023</v>
      </c>
      <c r="I136" t="s">
        <v>251</v>
      </c>
    </row>
    <row r="137" spans="1:9" x14ac:dyDescent="0.3">
      <c r="A137" t="s">
        <v>10130</v>
      </c>
      <c r="B137" t="s">
        <v>22</v>
      </c>
      <c r="C137">
        <v>7648876604</v>
      </c>
      <c r="D137" s="2">
        <v>1</v>
      </c>
      <c r="E137" t="str">
        <f>"4574674200430262"</f>
        <v>4574674200430262</v>
      </c>
      <c r="F137" t="str">
        <f>"439"</f>
        <v>439</v>
      </c>
      <c r="G137">
        <v>1</v>
      </c>
      <c r="H137">
        <v>2023</v>
      </c>
      <c r="I137" t="s">
        <v>252</v>
      </c>
    </row>
    <row r="138" spans="1:9" x14ac:dyDescent="0.3">
      <c r="A138" t="s">
        <v>10130</v>
      </c>
      <c r="B138" t="s">
        <v>22</v>
      </c>
      <c r="C138">
        <v>7648876604</v>
      </c>
      <c r="D138" s="2">
        <v>1</v>
      </c>
      <c r="E138" t="str">
        <f>"4574674200430122"</f>
        <v>4574674200430122</v>
      </c>
      <c r="F138" t="str">
        <f>"668"</f>
        <v>668</v>
      </c>
      <c r="G138">
        <v>1</v>
      </c>
      <c r="H138">
        <v>2023</v>
      </c>
      <c r="I138" t="s">
        <v>253</v>
      </c>
    </row>
    <row r="139" spans="1:9" x14ac:dyDescent="0.3">
      <c r="A139" t="s">
        <v>10130</v>
      </c>
      <c r="B139" t="s">
        <v>22</v>
      </c>
      <c r="C139">
        <v>7648876604</v>
      </c>
      <c r="D139" s="2">
        <v>1</v>
      </c>
      <c r="E139" t="str">
        <f>"4574674200958148"</f>
        <v>4574674200958148</v>
      </c>
      <c r="F139" t="str">
        <f>"185"</f>
        <v>185</v>
      </c>
      <c r="G139">
        <v>1</v>
      </c>
      <c r="H139">
        <v>2023</v>
      </c>
      <c r="I139" t="s">
        <v>254</v>
      </c>
    </row>
    <row r="140" spans="1:9" x14ac:dyDescent="0.3">
      <c r="A140" t="s">
        <v>10130</v>
      </c>
      <c r="B140" t="s">
        <v>22</v>
      </c>
      <c r="C140">
        <v>7648876604</v>
      </c>
      <c r="D140" s="2">
        <v>1</v>
      </c>
      <c r="E140" t="str">
        <f>"4574674200430130"</f>
        <v>4574674200430130</v>
      </c>
      <c r="F140" t="str">
        <f>"617"</f>
        <v>617</v>
      </c>
      <c r="G140">
        <v>1</v>
      </c>
      <c r="H140">
        <v>2023</v>
      </c>
      <c r="I140" t="s">
        <v>255</v>
      </c>
    </row>
    <row r="141" spans="1:9" x14ac:dyDescent="0.3">
      <c r="A141" t="s">
        <v>10130</v>
      </c>
      <c r="B141" t="s">
        <v>22</v>
      </c>
      <c r="C141">
        <v>7648876604</v>
      </c>
      <c r="D141" s="2">
        <v>1</v>
      </c>
      <c r="E141" t="str">
        <f>"4574674200430338"</f>
        <v>4574674200430338</v>
      </c>
      <c r="F141" t="str">
        <f>"205"</f>
        <v>205</v>
      </c>
      <c r="G141">
        <v>1</v>
      </c>
      <c r="H141">
        <v>2023</v>
      </c>
      <c r="I141" t="s">
        <v>256</v>
      </c>
    </row>
    <row r="142" spans="1:9" x14ac:dyDescent="0.3">
      <c r="A142" t="s">
        <v>10131</v>
      </c>
      <c r="B142" t="s">
        <v>23</v>
      </c>
      <c r="C142">
        <v>7648876604</v>
      </c>
      <c r="D142" s="2">
        <v>1</v>
      </c>
      <c r="E142" t="str">
        <f>"4574674200430189"</f>
        <v>4574674200430189</v>
      </c>
      <c r="F142" t="str">
        <f>"470"</f>
        <v>470</v>
      </c>
      <c r="G142">
        <v>1</v>
      </c>
      <c r="H142">
        <v>2023</v>
      </c>
      <c r="I142" t="s">
        <v>257</v>
      </c>
    </row>
    <row r="143" spans="1:9" x14ac:dyDescent="0.3">
      <c r="A143" t="s">
        <v>10131</v>
      </c>
      <c r="B143" t="s">
        <v>23</v>
      </c>
      <c r="C143">
        <v>7648876604</v>
      </c>
      <c r="D143" s="2">
        <v>1</v>
      </c>
      <c r="E143" t="str">
        <f>"4574674200430387"</f>
        <v>4574674200430387</v>
      </c>
      <c r="F143" t="str">
        <f>"525"</f>
        <v>525</v>
      </c>
      <c r="G143">
        <v>1</v>
      </c>
      <c r="H143">
        <v>2023</v>
      </c>
      <c r="I143" t="s">
        <v>258</v>
      </c>
    </row>
    <row r="144" spans="1:9" x14ac:dyDescent="0.3">
      <c r="A144" t="s">
        <v>10131</v>
      </c>
      <c r="B144" t="s">
        <v>23</v>
      </c>
      <c r="C144">
        <v>7648876604</v>
      </c>
      <c r="D144" s="2">
        <v>1</v>
      </c>
      <c r="E144" t="str">
        <f>"4574674200958155"</f>
        <v>4574674200958155</v>
      </c>
      <c r="F144" t="str">
        <f>"439"</f>
        <v>439</v>
      </c>
      <c r="G144">
        <v>1</v>
      </c>
      <c r="H144">
        <v>2023</v>
      </c>
      <c r="I144" t="s">
        <v>259</v>
      </c>
    </row>
    <row r="145" spans="1:9" x14ac:dyDescent="0.3">
      <c r="A145" t="s">
        <v>10131</v>
      </c>
      <c r="B145" t="s">
        <v>23</v>
      </c>
      <c r="C145">
        <v>7648876604</v>
      </c>
      <c r="D145" s="2">
        <v>1</v>
      </c>
      <c r="E145" t="str">
        <f>"4574674200430437"</f>
        <v>4574674200430437</v>
      </c>
      <c r="F145" t="str">
        <f>"364"</f>
        <v>364</v>
      </c>
      <c r="G145">
        <v>1</v>
      </c>
      <c r="H145">
        <v>2023</v>
      </c>
      <c r="I145" t="s">
        <v>260</v>
      </c>
    </row>
    <row r="146" spans="1:9" x14ac:dyDescent="0.3">
      <c r="A146" t="s">
        <v>10131</v>
      </c>
      <c r="B146" t="s">
        <v>23</v>
      </c>
      <c r="C146">
        <v>7648876604</v>
      </c>
      <c r="D146" s="2">
        <v>1</v>
      </c>
      <c r="E146" t="str">
        <f>"4574674200958171"</f>
        <v>4574674200958171</v>
      </c>
      <c r="F146" t="str">
        <f>"622"</f>
        <v>622</v>
      </c>
      <c r="G146">
        <v>1</v>
      </c>
      <c r="H146">
        <v>2023</v>
      </c>
      <c r="I146" t="s">
        <v>261</v>
      </c>
    </row>
    <row r="147" spans="1:9" x14ac:dyDescent="0.3">
      <c r="A147" t="s">
        <v>10131</v>
      </c>
      <c r="B147" t="s">
        <v>23</v>
      </c>
      <c r="C147">
        <v>7648876604</v>
      </c>
      <c r="D147" s="2">
        <v>1</v>
      </c>
      <c r="E147" t="str">
        <f>"4574674200430429"</f>
        <v>4574674200430429</v>
      </c>
      <c r="F147" t="str">
        <f>"842"</f>
        <v>842</v>
      </c>
      <c r="G147">
        <v>1</v>
      </c>
      <c r="H147">
        <v>2023</v>
      </c>
      <c r="I147" t="s">
        <v>262</v>
      </c>
    </row>
    <row r="148" spans="1:9" x14ac:dyDescent="0.3">
      <c r="A148" t="s">
        <v>10131</v>
      </c>
      <c r="B148" t="s">
        <v>23</v>
      </c>
      <c r="C148">
        <v>7648876604</v>
      </c>
      <c r="D148" s="2">
        <v>1</v>
      </c>
      <c r="E148" t="str">
        <f>"4574674200958221"</f>
        <v>4574674200958221</v>
      </c>
      <c r="F148" t="str">
        <f>"031"</f>
        <v>031</v>
      </c>
      <c r="G148">
        <v>1</v>
      </c>
      <c r="H148">
        <v>2023</v>
      </c>
      <c r="I148" t="s">
        <v>263</v>
      </c>
    </row>
    <row r="149" spans="1:9" x14ac:dyDescent="0.3">
      <c r="A149" t="s">
        <v>10131</v>
      </c>
      <c r="B149" t="s">
        <v>23</v>
      </c>
      <c r="C149">
        <v>7648876604</v>
      </c>
      <c r="D149" s="2">
        <v>1</v>
      </c>
      <c r="E149" t="str">
        <f>"4574674200430643"</f>
        <v>4574674200430643</v>
      </c>
      <c r="F149" t="str">
        <f>"506"</f>
        <v>506</v>
      </c>
      <c r="G149">
        <v>1</v>
      </c>
      <c r="H149">
        <v>2023</v>
      </c>
      <c r="I149" t="s">
        <v>264</v>
      </c>
    </row>
    <row r="150" spans="1:9" x14ac:dyDescent="0.3">
      <c r="A150" t="s">
        <v>10131</v>
      </c>
      <c r="B150" t="s">
        <v>23</v>
      </c>
      <c r="C150">
        <v>7648876604</v>
      </c>
      <c r="D150" s="2">
        <v>1</v>
      </c>
      <c r="E150" t="str">
        <f>"4574674200958254"</f>
        <v>4574674200958254</v>
      </c>
      <c r="F150" t="str">
        <f>"068"</f>
        <v>068</v>
      </c>
      <c r="G150">
        <v>1</v>
      </c>
      <c r="H150">
        <v>2023</v>
      </c>
      <c r="I150" t="s">
        <v>265</v>
      </c>
    </row>
    <row r="151" spans="1:9" x14ac:dyDescent="0.3">
      <c r="A151" t="s">
        <v>10131</v>
      </c>
      <c r="B151" t="s">
        <v>23</v>
      </c>
      <c r="C151">
        <v>7648876604</v>
      </c>
      <c r="D151" s="2">
        <v>1</v>
      </c>
      <c r="E151" t="str">
        <f>"4574674200430486"</f>
        <v>4574674200430486</v>
      </c>
      <c r="F151" t="str">
        <f>"256"</f>
        <v>256</v>
      </c>
      <c r="G151">
        <v>1</v>
      </c>
      <c r="H151">
        <v>2023</v>
      </c>
      <c r="I151" t="s">
        <v>266</v>
      </c>
    </row>
    <row r="152" spans="1:9" x14ac:dyDescent="0.3">
      <c r="A152" t="s">
        <v>10132</v>
      </c>
      <c r="B152" t="s">
        <v>24</v>
      </c>
      <c r="C152">
        <v>7648876604</v>
      </c>
      <c r="D152" s="2">
        <v>1</v>
      </c>
      <c r="E152" t="str">
        <f>"4574674200430668"</f>
        <v>4574674200430668</v>
      </c>
      <c r="F152" t="str">
        <f>"204"</f>
        <v>204</v>
      </c>
      <c r="G152">
        <v>1</v>
      </c>
      <c r="H152">
        <v>2023</v>
      </c>
      <c r="I152" t="s">
        <v>267</v>
      </c>
    </row>
    <row r="153" spans="1:9" x14ac:dyDescent="0.3">
      <c r="A153" t="s">
        <v>10132</v>
      </c>
      <c r="B153" t="s">
        <v>24</v>
      </c>
      <c r="C153">
        <v>7648876604</v>
      </c>
      <c r="D153" s="2">
        <v>1</v>
      </c>
      <c r="E153" t="str">
        <f>"4574674200958270"</f>
        <v>4574674200958270</v>
      </c>
      <c r="F153" t="str">
        <f>"990"</f>
        <v>990</v>
      </c>
      <c r="G153">
        <v>1</v>
      </c>
      <c r="H153">
        <v>2023</v>
      </c>
      <c r="I153" t="s">
        <v>268</v>
      </c>
    </row>
    <row r="154" spans="1:9" x14ac:dyDescent="0.3">
      <c r="A154" t="s">
        <v>10132</v>
      </c>
      <c r="B154" t="s">
        <v>24</v>
      </c>
      <c r="C154">
        <v>7648876604</v>
      </c>
      <c r="D154" s="2">
        <v>1</v>
      </c>
      <c r="E154" t="str">
        <f>"4574674200430536"</f>
        <v>4574674200430536</v>
      </c>
      <c r="F154" t="str">
        <f>"590"</f>
        <v>590</v>
      </c>
      <c r="G154">
        <v>1</v>
      </c>
      <c r="H154">
        <v>2023</v>
      </c>
      <c r="I154" t="s">
        <v>269</v>
      </c>
    </row>
    <row r="155" spans="1:9" x14ac:dyDescent="0.3">
      <c r="A155" t="s">
        <v>10132</v>
      </c>
      <c r="B155" t="s">
        <v>24</v>
      </c>
      <c r="C155">
        <v>7648876604</v>
      </c>
      <c r="D155" s="2">
        <v>1</v>
      </c>
      <c r="E155" t="str">
        <f>"4574674200958312"</f>
        <v>4574674200958312</v>
      </c>
      <c r="F155" t="str">
        <f>"053"</f>
        <v>053</v>
      </c>
      <c r="G155">
        <v>1</v>
      </c>
      <c r="H155">
        <v>2023</v>
      </c>
      <c r="I155" t="s">
        <v>270</v>
      </c>
    </row>
    <row r="156" spans="1:9" x14ac:dyDescent="0.3">
      <c r="A156" t="s">
        <v>10132</v>
      </c>
      <c r="B156" t="s">
        <v>24</v>
      </c>
      <c r="C156">
        <v>7648876604</v>
      </c>
      <c r="D156" s="2">
        <v>1</v>
      </c>
      <c r="E156" t="str">
        <f>"4574674200430551"</f>
        <v>4574674200430551</v>
      </c>
      <c r="F156" t="str">
        <f>"933"</f>
        <v>933</v>
      </c>
      <c r="G156">
        <v>1</v>
      </c>
      <c r="H156">
        <v>2023</v>
      </c>
      <c r="I156" t="s">
        <v>271</v>
      </c>
    </row>
    <row r="157" spans="1:9" x14ac:dyDescent="0.3">
      <c r="A157" t="s">
        <v>10132</v>
      </c>
      <c r="B157" t="s">
        <v>24</v>
      </c>
      <c r="C157">
        <v>7648876604</v>
      </c>
      <c r="D157" s="2">
        <v>1</v>
      </c>
      <c r="E157" t="str">
        <f>"4574674200958320"</f>
        <v>4574674200958320</v>
      </c>
      <c r="F157" t="str">
        <f>"460"</f>
        <v>460</v>
      </c>
      <c r="G157">
        <v>1</v>
      </c>
      <c r="H157">
        <v>2023</v>
      </c>
      <c r="I157" t="s">
        <v>272</v>
      </c>
    </row>
    <row r="158" spans="1:9" x14ac:dyDescent="0.3">
      <c r="A158" t="s">
        <v>10132</v>
      </c>
      <c r="B158" t="s">
        <v>24</v>
      </c>
      <c r="C158">
        <v>7648876604</v>
      </c>
      <c r="D158" s="2">
        <v>1</v>
      </c>
      <c r="E158" t="str">
        <f>"4574674200956977"</f>
        <v>4574674200956977</v>
      </c>
      <c r="F158" t="str">
        <f>"126"</f>
        <v>126</v>
      </c>
      <c r="G158">
        <v>1</v>
      </c>
      <c r="H158">
        <v>2023</v>
      </c>
      <c r="I158" t="s">
        <v>273</v>
      </c>
    </row>
    <row r="159" spans="1:9" x14ac:dyDescent="0.3">
      <c r="A159" t="s">
        <v>10132</v>
      </c>
      <c r="B159" t="s">
        <v>24</v>
      </c>
      <c r="C159">
        <v>7648876604</v>
      </c>
      <c r="D159" s="2">
        <v>1</v>
      </c>
      <c r="E159" t="str">
        <f>"4574674200430718"</f>
        <v>4574674200430718</v>
      </c>
      <c r="F159" t="str">
        <f>"675"</f>
        <v>675</v>
      </c>
      <c r="G159">
        <v>1</v>
      </c>
      <c r="H159">
        <v>2023</v>
      </c>
      <c r="I159" t="s">
        <v>274</v>
      </c>
    </row>
    <row r="160" spans="1:9" x14ac:dyDescent="0.3">
      <c r="A160" t="s">
        <v>10132</v>
      </c>
      <c r="B160" t="s">
        <v>24</v>
      </c>
      <c r="C160">
        <v>7648876604</v>
      </c>
      <c r="D160" s="2">
        <v>1</v>
      </c>
      <c r="E160" t="str">
        <f>"4574674200958346"</f>
        <v>4574674200958346</v>
      </c>
      <c r="F160" t="str">
        <f>"416"</f>
        <v>416</v>
      </c>
      <c r="G160">
        <v>1</v>
      </c>
      <c r="H160">
        <v>2023</v>
      </c>
      <c r="I160" t="s">
        <v>275</v>
      </c>
    </row>
    <row r="161" spans="1:9" x14ac:dyDescent="0.3">
      <c r="A161" t="s">
        <v>10132</v>
      </c>
      <c r="B161" t="s">
        <v>24</v>
      </c>
      <c r="C161">
        <v>7648876604</v>
      </c>
      <c r="D161" s="2">
        <v>1</v>
      </c>
      <c r="E161" t="str">
        <f>"4574674200430817"</f>
        <v>4574674200430817</v>
      </c>
      <c r="F161" t="str">
        <f>"485"</f>
        <v>485</v>
      </c>
      <c r="G161">
        <v>1</v>
      </c>
      <c r="H161">
        <v>2023</v>
      </c>
      <c r="I161" t="s">
        <v>276</v>
      </c>
    </row>
    <row r="162" spans="1:9" x14ac:dyDescent="0.3">
      <c r="A162" t="s">
        <v>10133</v>
      </c>
      <c r="B162" t="s">
        <v>25</v>
      </c>
      <c r="C162">
        <v>7648876604</v>
      </c>
      <c r="D162" s="2">
        <v>1</v>
      </c>
      <c r="E162" t="str">
        <f>"4574674200958403"</f>
        <v>4574674200958403</v>
      </c>
      <c r="F162" t="str">
        <f>"674"</f>
        <v>674</v>
      </c>
      <c r="G162">
        <v>1</v>
      </c>
      <c r="H162">
        <v>2023</v>
      </c>
      <c r="I162" t="s">
        <v>277</v>
      </c>
    </row>
    <row r="163" spans="1:9" x14ac:dyDescent="0.3">
      <c r="A163" t="s">
        <v>10133</v>
      </c>
      <c r="B163" t="s">
        <v>25</v>
      </c>
      <c r="C163">
        <v>7648876604</v>
      </c>
      <c r="D163" s="2">
        <v>1</v>
      </c>
      <c r="E163" t="str">
        <f>"4574674200430858"</f>
        <v>4574674200430858</v>
      </c>
      <c r="F163" t="str">
        <f>"215"</f>
        <v>215</v>
      </c>
      <c r="G163">
        <v>1</v>
      </c>
      <c r="H163">
        <v>2023</v>
      </c>
      <c r="I163" t="s">
        <v>278</v>
      </c>
    </row>
    <row r="164" spans="1:9" x14ac:dyDescent="0.3">
      <c r="A164" t="s">
        <v>10133</v>
      </c>
      <c r="B164" t="s">
        <v>25</v>
      </c>
      <c r="C164">
        <v>7648876604</v>
      </c>
      <c r="D164" s="2">
        <v>1</v>
      </c>
      <c r="E164" t="str">
        <f>"4574674200958411"</f>
        <v>4574674200958411</v>
      </c>
      <c r="F164" t="str">
        <f>"455"</f>
        <v>455</v>
      </c>
      <c r="G164">
        <v>1</v>
      </c>
      <c r="H164">
        <v>2023</v>
      </c>
      <c r="I164" t="s">
        <v>279</v>
      </c>
    </row>
    <row r="165" spans="1:9" x14ac:dyDescent="0.3">
      <c r="A165" t="s">
        <v>10133</v>
      </c>
      <c r="B165" t="s">
        <v>25</v>
      </c>
      <c r="C165">
        <v>7648876604</v>
      </c>
      <c r="D165" s="2">
        <v>1</v>
      </c>
      <c r="E165" t="str">
        <f>"4574674200430775"</f>
        <v>4574674200430775</v>
      </c>
      <c r="F165" t="str">
        <f>"684"</f>
        <v>684</v>
      </c>
      <c r="G165">
        <v>1</v>
      </c>
      <c r="H165">
        <v>2023</v>
      </c>
      <c r="I165" t="s">
        <v>280</v>
      </c>
    </row>
    <row r="166" spans="1:9" x14ac:dyDescent="0.3">
      <c r="A166" t="s">
        <v>10133</v>
      </c>
      <c r="B166" t="s">
        <v>25</v>
      </c>
      <c r="C166">
        <v>7648876604</v>
      </c>
      <c r="D166" s="2">
        <v>1</v>
      </c>
      <c r="E166" t="str">
        <f>"4574674200958445"</f>
        <v>4574674200958445</v>
      </c>
      <c r="F166" t="str">
        <f>"811"</f>
        <v>811</v>
      </c>
      <c r="G166">
        <v>1</v>
      </c>
      <c r="H166">
        <v>2023</v>
      </c>
      <c r="I166" t="s">
        <v>281</v>
      </c>
    </row>
    <row r="167" spans="1:9" x14ac:dyDescent="0.3">
      <c r="A167" t="s">
        <v>10133</v>
      </c>
      <c r="B167" t="s">
        <v>25</v>
      </c>
      <c r="C167">
        <v>7648876604</v>
      </c>
      <c r="D167" s="2">
        <v>1</v>
      </c>
      <c r="E167" t="str">
        <f>"4574674200958494"</f>
        <v>4574674200958494</v>
      </c>
      <c r="F167" t="str">
        <f>"799"</f>
        <v>799</v>
      </c>
      <c r="G167">
        <v>1</v>
      </c>
      <c r="H167">
        <v>2023</v>
      </c>
      <c r="I167" t="s">
        <v>282</v>
      </c>
    </row>
    <row r="168" spans="1:9" x14ac:dyDescent="0.3">
      <c r="A168" t="s">
        <v>10133</v>
      </c>
      <c r="B168" t="s">
        <v>25</v>
      </c>
      <c r="C168">
        <v>7648876604</v>
      </c>
      <c r="D168" s="2">
        <v>1</v>
      </c>
      <c r="E168" t="str">
        <f>"4574674200430874"</f>
        <v>4574674200430874</v>
      </c>
      <c r="F168" t="str">
        <f>"173"</f>
        <v>173</v>
      </c>
      <c r="G168">
        <v>1</v>
      </c>
      <c r="H168">
        <v>2023</v>
      </c>
      <c r="I168" t="s">
        <v>283</v>
      </c>
    </row>
    <row r="169" spans="1:9" x14ac:dyDescent="0.3">
      <c r="A169" t="s">
        <v>10133</v>
      </c>
      <c r="B169" t="s">
        <v>25</v>
      </c>
      <c r="C169">
        <v>7648876604</v>
      </c>
      <c r="D169" s="2">
        <v>1</v>
      </c>
      <c r="E169" t="str">
        <f>"4574674200958502"</f>
        <v>4574674200958502</v>
      </c>
      <c r="F169" t="str">
        <f>"526"</f>
        <v>526</v>
      </c>
      <c r="G169">
        <v>1</v>
      </c>
      <c r="H169">
        <v>2023</v>
      </c>
      <c r="I169" t="s">
        <v>284</v>
      </c>
    </row>
    <row r="170" spans="1:9" x14ac:dyDescent="0.3">
      <c r="A170" t="s">
        <v>10133</v>
      </c>
      <c r="B170" t="s">
        <v>25</v>
      </c>
      <c r="C170">
        <v>7648876604</v>
      </c>
      <c r="D170" s="2">
        <v>1</v>
      </c>
      <c r="E170" t="str">
        <f>"4574674200430916"</f>
        <v>4574674200430916</v>
      </c>
      <c r="F170" t="str">
        <f>"517"</f>
        <v>517</v>
      </c>
      <c r="G170">
        <v>1</v>
      </c>
      <c r="H170">
        <v>2023</v>
      </c>
      <c r="I170" t="s">
        <v>285</v>
      </c>
    </row>
    <row r="171" spans="1:9" x14ac:dyDescent="0.3">
      <c r="A171" t="s">
        <v>10133</v>
      </c>
      <c r="B171" t="s">
        <v>25</v>
      </c>
      <c r="C171">
        <v>7648876604</v>
      </c>
      <c r="D171" s="2">
        <v>1</v>
      </c>
      <c r="E171" t="str">
        <f>"4574674200430940"</f>
        <v>4574674200430940</v>
      </c>
      <c r="F171" t="str">
        <f>"771"</f>
        <v>771</v>
      </c>
      <c r="G171">
        <v>1</v>
      </c>
      <c r="H171">
        <v>2023</v>
      </c>
      <c r="I171" t="s">
        <v>286</v>
      </c>
    </row>
    <row r="172" spans="1:9" x14ac:dyDescent="0.3">
      <c r="A172" t="s">
        <v>10134</v>
      </c>
      <c r="B172" t="s">
        <v>26</v>
      </c>
      <c r="C172">
        <v>7648876604</v>
      </c>
      <c r="D172" s="2">
        <v>1</v>
      </c>
      <c r="E172" t="str">
        <f>"4574674200958510"</f>
        <v>4574674200958510</v>
      </c>
      <c r="F172" t="str">
        <f>"578"</f>
        <v>578</v>
      </c>
      <c r="G172">
        <v>1</v>
      </c>
      <c r="H172">
        <v>2023</v>
      </c>
      <c r="I172" t="s">
        <v>287</v>
      </c>
    </row>
    <row r="173" spans="1:9" x14ac:dyDescent="0.3">
      <c r="A173" t="s">
        <v>10134</v>
      </c>
      <c r="B173" t="s">
        <v>26</v>
      </c>
      <c r="C173">
        <v>7648876604</v>
      </c>
      <c r="D173" s="2">
        <v>1</v>
      </c>
      <c r="E173" t="str">
        <f>"4574674200958569"</f>
        <v>4574674200958569</v>
      </c>
      <c r="F173" t="str">
        <f>"606"</f>
        <v>606</v>
      </c>
      <c r="G173">
        <v>1</v>
      </c>
      <c r="H173">
        <v>2023</v>
      </c>
      <c r="I173" t="s">
        <v>288</v>
      </c>
    </row>
    <row r="174" spans="1:9" x14ac:dyDescent="0.3">
      <c r="A174" t="s">
        <v>10134</v>
      </c>
      <c r="B174" t="s">
        <v>26</v>
      </c>
      <c r="C174">
        <v>7648876604</v>
      </c>
      <c r="D174" s="2">
        <v>1</v>
      </c>
      <c r="E174" t="str">
        <f>"4574674200430957"</f>
        <v>4574674200430957</v>
      </c>
      <c r="F174" t="str">
        <f>"748"</f>
        <v>748</v>
      </c>
      <c r="G174">
        <v>1</v>
      </c>
      <c r="H174">
        <v>2023</v>
      </c>
      <c r="I174" t="s">
        <v>289</v>
      </c>
    </row>
    <row r="175" spans="1:9" x14ac:dyDescent="0.3">
      <c r="A175" t="s">
        <v>10134</v>
      </c>
      <c r="B175" t="s">
        <v>26</v>
      </c>
      <c r="C175">
        <v>7648876604</v>
      </c>
      <c r="D175" s="2">
        <v>1</v>
      </c>
      <c r="E175" t="str">
        <f>"4574674200958585"</f>
        <v>4574674200958585</v>
      </c>
      <c r="F175" t="str">
        <f>"469"</f>
        <v>469</v>
      </c>
      <c r="G175">
        <v>1</v>
      </c>
      <c r="H175">
        <v>2023</v>
      </c>
      <c r="I175" t="s">
        <v>290</v>
      </c>
    </row>
    <row r="176" spans="1:9" x14ac:dyDescent="0.3">
      <c r="A176" t="s">
        <v>10134</v>
      </c>
      <c r="B176" t="s">
        <v>26</v>
      </c>
      <c r="C176">
        <v>7648876604</v>
      </c>
      <c r="D176" s="2">
        <v>1</v>
      </c>
      <c r="E176" t="str">
        <f>"4574674200430965"</f>
        <v>4574674200430965</v>
      </c>
      <c r="F176" t="str">
        <f>"644"</f>
        <v>644</v>
      </c>
      <c r="G176">
        <v>1</v>
      </c>
      <c r="H176">
        <v>2023</v>
      </c>
      <c r="I176" t="s">
        <v>291</v>
      </c>
    </row>
    <row r="177" spans="1:9" x14ac:dyDescent="0.3">
      <c r="A177" t="s">
        <v>10134</v>
      </c>
      <c r="B177" t="s">
        <v>26</v>
      </c>
      <c r="C177">
        <v>7648876604</v>
      </c>
      <c r="D177" s="2">
        <v>1</v>
      </c>
      <c r="E177" t="str">
        <f>"4574674200958635"</f>
        <v>4574674200958635</v>
      </c>
      <c r="F177" t="str">
        <f>"733"</f>
        <v>733</v>
      </c>
      <c r="G177">
        <v>1</v>
      </c>
      <c r="H177">
        <v>2023</v>
      </c>
      <c r="I177" t="s">
        <v>292</v>
      </c>
    </row>
    <row r="178" spans="1:9" x14ac:dyDescent="0.3">
      <c r="A178" t="s">
        <v>10134</v>
      </c>
      <c r="B178" t="s">
        <v>26</v>
      </c>
      <c r="C178">
        <v>7648876604</v>
      </c>
      <c r="D178" s="2">
        <v>1</v>
      </c>
      <c r="E178" t="str">
        <f>"4574674200431088"</f>
        <v>4574674200431088</v>
      </c>
      <c r="F178" t="str">
        <f>"104"</f>
        <v>104</v>
      </c>
      <c r="G178">
        <v>1</v>
      </c>
      <c r="H178">
        <v>2023</v>
      </c>
      <c r="I178" t="s">
        <v>293</v>
      </c>
    </row>
    <row r="179" spans="1:9" x14ac:dyDescent="0.3">
      <c r="A179" t="s">
        <v>10134</v>
      </c>
      <c r="B179" t="s">
        <v>26</v>
      </c>
      <c r="C179">
        <v>7648876604</v>
      </c>
      <c r="D179" s="2">
        <v>1</v>
      </c>
      <c r="E179" t="str">
        <f>"4574674200958643"</f>
        <v>4574674200958643</v>
      </c>
      <c r="F179" t="str">
        <f>"677"</f>
        <v>677</v>
      </c>
      <c r="G179">
        <v>1</v>
      </c>
      <c r="H179">
        <v>2023</v>
      </c>
      <c r="I179" t="s">
        <v>294</v>
      </c>
    </row>
    <row r="180" spans="1:9" x14ac:dyDescent="0.3">
      <c r="A180" t="s">
        <v>10134</v>
      </c>
      <c r="B180" t="s">
        <v>26</v>
      </c>
      <c r="C180">
        <v>7648876604</v>
      </c>
      <c r="D180" s="2">
        <v>1</v>
      </c>
      <c r="E180" t="str">
        <f>"4574674200431260"</f>
        <v>4574674200431260</v>
      </c>
      <c r="F180" t="str">
        <f>"457"</f>
        <v>457</v>
      </c>
      <c r="G180">
        <v>1</v>
      </c>
      <c r="H180">
        <v>2023</v>
      </c>
      <c r="I180" t="s">
        <v>295</v>
      </c>
    </row>
    <row r="181" spans="1:9" x14ac:dyDescent="0.3">
      <c r="A181" t="s">
        <v>10134</v>
      </c>
      <c r="B181" t="s">
        <v>26</v>
      </c>
      <c r="C181">
        <v>7648876604</v>
      </c>
      <c r="D181" s="2">
        <v>1</v>
      </c>
      <c r="E181" t="str">
        <f>"4574674200431310"</f>
        <v>4574674200431310</v>
      </c>
      <c r="F181" t="str">
        <f>"063"</f>
        <v>063</v>
      </c>
      <c r="G181">
        <v>1</v>
      </c>
      <c r="H181">
        <v>2023</v>
      </c>
      <c r="I181" t="s">
        <v>296</v>
      </c>
    </row>
    <row r="182" spans="1:9" x14ac:dyDescent="0.3">
      <c r="A182" t="s">
        <v>10135</v>
      </c>
      <c r="B182" t="s">
        <v>27</v>
      </c>
      <c r="C182">
        <v>7648876604</v>
      </c>
      <c r="D182" s="2">
        <v>1</v>
      </c>
      <c r="E182" t="str">
        <f>"4574674200958676"</f>
        <v>4574674200958676</v>
      </c>
      <c r="F182" t="str">
        <f>"679"</f>
        <v>679</v>
      </c>
      <c r="G182">
        <v>1</v>
      </c>
      <c r="H182">
        <v>2023</v>
      </c>
      <c r="I182" t="s">
        <v>297</v>
      </c>
    </row>
    <row r="183" spans="1:9" x14ac:dyDescent="0.3">
      <c r="A183" t="s">
        <v>10135</v>
      </c>
      <c r="B183" t="s">
        <v>27</v>
      </c>
      <c r="C183">
        <v>7648876604</v>
      </c>
      <c r="D183" s="2">
        <v>1</v>
      </c>
      <c r="E183" t="str">
        <f>"4574674200958692"</f>
        <v>4574674200958692</v>
      </c>
      <c r="F183" t="str">
        <f>"790"</f>
        <v>790</v>
      </c>
      <c r="G183">
        <v>1</v>
      </c>
      <c r="H183">
        <v>2023</v>
      </c>
      <c r="I183" t="s">
        <v>298</v>
      </c>
    </row>
    <row r="184" spans="1:9" x14ac:dyDescent="0.3">
      <c r="A184" t="s">
        <v>10135</v>
      </c>
      <c r="B184" t="s">
        <v>27</v>
      </c>
      <c r="C184">
        <v>7648876604</v>
      </c>
      <c r="D184" s="2">
        <v>1</v>
      </c>
      <c r="E184" t="str">
        <f>"4574674200431112"</f>
        <v>4574674200431112</v>
      </c>
      <c r="F184" t="str">
        <f>"696"</f>
        <v>696</v>
      </c>
      <c r="G184">
        <v>1</v>
      </c>
      <c r="H184">
        <v>2023</v>
      </c>
      <c r="I184" t="s">
        <v>299</v>
      </c>
    </row>
    <row r="185" spans="1:9" x14ac:dyDescent="0.3">
      <c r="A185" t="s">
        <v>10135</v>
      </c>
      <c r="B185" t="s">
        <v>27</v>
      </c>
      <c r="C185">
        <v>7648876604</v>
      </c>
      <c r="D185" s="2">
        <v>1</v>
      </c>
      <c r="E185" t="str">
        <f>"4574674200958734"</f>
        <v>4574674200958734</v>
      </c>
      <c r="F185" t="str">
        <f>"761"</f>
        <v>761</v>
      </c>
      <c r="G185">
        <v>1</v>
      </c>
      <c r="H185">
        <v>2023</v>
      </c>
      <c r="I185" t="s">
        <v>300</v>
      </c>
    </row>
    <row r="186" spans="1:9" x14ac:dyDescent="0.3">
      <c r="A186" t="s">
        <v>10135</v>
      </c>
      <c r="B186" t="s">
        <v>27</v>
      </c>
      <c r="C186">
        <v>7648876604</v>
      </c>
      <c r="D186" s="2">
        <v>1</v>
      </c>
      <c r="E186" t="str">
        <f>"4574674200431104"</f>
        <v>4574674200431104</v>
      </c>
      <c r="F186" t="str">
        <f>"133"</f>
        <v>133</v>
      </c>
      <c r="G186">
        <v>1</v>
      </c>
      <c r="H186">
        <v>2023</v>
      </c>
      <c r="I186" t="s">
        <v>301</v>
      </c>
    </row>
    <row r="187" spans="1:9" x14ac:dyDescent="0.3">
      <c r="A187" t="s">
        <v>10135</v>
      </c>
      <c r="B187" t="s">
        <v>27</v>
      </c>
      <c r="C187">
        <v>7648876604</v>
      </c>
      <c r="D187" s="2">
        <v>1</v>
      </c>
      <c r="E187" t="str">
        <f>"4574674200958825"</f>
        <v>4574674200958825</v>
      </c>
      <c r="F187" t="str">
        <f>"791"</f>
        <v>791</v>
      </c>
      <c r="G187">
        <v>1</v>
      </c>
      <c r="H187">
        <v>2023</v>
      </c>
      <c r="I187" t="s">
        <v>302</v>
      </c>
    </row>
    <row r="188" spans="1:9" x14ac:dyDescent="0.3">
      <c r="A188" t="s">
        <v>10135</v>
      </c>
      <c r="B188" t="s">
        <v>27</v>
      </c>
      <c r="C188">
        <v>7648876604</v>
      </c>
      <c r="D188" s="2">
        <v>1</v>
      </c>
      <c r="E188" t="str">
        <f>"4574674200958767"</f>
        <v>4574674200958767</v>
      </c>
      <c r="F188" t="str">
        <f>"155"</f>
        <v>155</v>
      </c>
      <c r="G188">
        <v>1</v>
      </c>
      <c r="H188">
        <v>2023</v>
      </c>
      <c r="I188" t="s">
        <v>303</v>
      </c>
    </row>
    <row r="189" spans="1:9" x14ac:dyDescent="0.3">
      <c r="A189" t="s">
        <v>10135</v>
      </c>
      <c r="B189" t="s">
        <v>27</v>
      </c>
      <c r="C189">
        <v>7648876604</v>
      </c>
      <c r="D189" s="2">
        <v>1</v>
      </c>
      <c r="E189" t="str">
        <f>"4574674200431328"</f>
        <v>4574674200431328</v>
      </c>
      <c r="F189" t="str">
        <f>"438"</f>
        <v>438</v>
      </c>
      <c r="G189">
        <v>1</v>
      </c>
      <c r="H189">
        <v>2023</v>
      </c>
      <c r="I189" t="s">
        <v>304</v>
      </c>
    </row>
    <row r="190" spans="1:9" x14ac:dyDescent="0.3">
      <c r="A190" t="s">
        <v>10135</v>
      </c>
      <c r="B190" t="s">
        <v>27</v>
      </c>
      <c r="C190">
        <v>7648876604</v>
      </c>
      <c r="D190" s="2">
        <v>1</v>
      </c>
      <c r="E190" t="str">
        <f>"4574674200958775"</f>
        <v>4574674200958775</v>
      </c>
      <c r="F190" t="str">
        <f>"886"</f>
        <v>886</v>
      </c>
      <c r="G190">
        <v>1</v>
      </c>
      <c r="H190">
        <v>2023</v>
      </c>
      <c r="I190" t="s">
        <v>305</v>
      </c>
    </row>
    <row r="191" spans="1:9" x14ac:dyDescent="0.3">
      <c r="A191" t="s">
        <v>10135</v>
      </c>
      <c r="B191" t="s">
        <v>27</v>
      </c>
      <c r="C191">
        <v>7648876604</v>
      </c>
      <c r="D191" s="2">
        <v>1</v>
      </c>
      <c r="E191" t="str">
        <f>"4574674200959021"</f>
        <v>4574674200959021</v>
      </c>
      <c r="F191" t="str">
        <f>"525"</f>
        <v>525</v>
      </c>
      <c r="G191">
        <v>1</v>
      </c>
      <c r="H191">
        <v>2023</v>
      </c>
      <c r="I191" t="s">
        <v>306</v>
      </c>
    </row>
    <row r="192" spans="1:9" x14ac:dyDescent="0.3">
      <c r="A192" t="s">
        <v>10136</v>
      </c>
      <c r="B192" t="s">
        <v>28</v>
      </c>
      <c r="C192">
        <v>7648876604</v>
      </c>
      <c r="D192" s="2">
        <v>1</v>
      </c>
      <c r="E192" t="str">
        <f>"4574674200431161"</f>
        <v>4574674200431161</v>
      </c>
      <c r="F192" t="str">
        <f>"070"</f>
        <v>070</v>
      </c>
      <c r="G192">
        <v>1</v>
      </c>
      <c r="H192">
        <v>2023</v>
      </c>
      <c r="I192" t="s">
        <v>307</v>
      </c>
    </row>
    <row r="193" spans="1:9" x14ac:dyDescent="0.3">
      <c r="A193" t="s">
        <v>10136</v>
      </c>
      <c r="B193" t="s">
        <v>28</v>
      </c>
      <c r="C193">
        <v>7648876604</v>
      </c>
      <c r="D193" s="2">
        <v>1</v>
      </c>
      <c r="E193" t="str">
        <f>"4574674200959088"</f>
        <v>4574674200959088</v>
      </c>
      <c r="F193" t="str">
        <f>"806"</f>
        <v>806</v>
      </c>
      <c r="G193">
        <v>1</v>
      </c>
      <c r="H193">
        <v>2023</v>
      </c>
      <c r="I193" t="s">
        <v>308</v>
      </c>
    </row>
    <row r="194" spans="1:9" x14ac:dyDescent="0.3">
      <c r="A194" t="s">
        <v>10136</v>
      </c>
      <c r="B194" t="s">
        <v>28</v>
      </c>
      <c r="C194">
        <v>7648876604</v>
      </c>
      <c r="D194" s="2">
        <v>1</v>
      </c>
      <c r="E194" t="str">
        <f>"4574674200959054"</f>
        <v>4574674200959054</v>
      </c>
      <c r="F194" t="str">
        <f>"113"</f>
        <v>113</v>
      </c>
      <c r="G194">
        <v>1</v>
      </c>
      <c r="H194">
        <v>2023</v>
      </c>
      <c r="I194" t="s">
        <v>309</v>
      </c>
    </row>
    <row r="195" spans="1:9" x14ac:dyDescent="0.3">
      <c r="A195" t="s">
        <v>10136</v>
      </c>
      <c r="B195" t="s">
        <v>28</v>
      </c>
      <c r="C195">
        <v>7648876604</v>
      </c>
      <c r="D195" s="2">
        <v>1</v>
      </c>
      <c r="E195" t="str">
        <f>"4574674200959070"</f>
        <v>4574674200959070</v>
      </c>
      <c r="F195" t="str">
        <f>"506"</f>
        <v>506</v>
      </c>
      <c r="G195">
        <v>1</v>
      </c>
      <c r="H195">
        <v>2023</v>
      </c>
      <c r="I195" t="s">
        <v>310</v>
      </c>
    </row>
    <row r="196" spans="1:9" x14ac:dyDescent="0.3">
      <c r="A196" t="s">
        <v>10136</v>
      </c>
      <c r="B196" t="s">
        <v>28</v>
      </c>
      <c r="C196">
        <v>7648876604</v>
      </c>
      <c r="D196" s="2">
        <v>1</v>
      </c>
      <c r="E196" t="str">
        <f>"4574674200959153"</f>
        <v>4574674200959153</v>
      </c>
      <c r="F196" t="str">
        <f>"593"</f>
        <v>593</v>
      </c>
      <c r="G196">
        <v>1</v>
      </c>
      <c r="H196">
        <v>2023</v>
      </c>
      <c r="I196" t="s">
        <v>311</v>
      </c>
    </row>
    <row r="197" spans="1:9" x14ac:dyDescent="0.3">
      <c r="A197" t="s">
        <v>10136</v>
      </c>
      <c r="B197" t="s">
        <v>28</v>
      </c>
      <c r="C197">
        <v>7648876604</v>
      </c>
      <c r="D197" s="2">
        <v>1</v>
      </c>
      <c r="E197" t="str">
        <f>"4574674200959120"</f>
        <v>4574674200959120</v>
      </c>
      <c r="F197" t="str">
        <f>"153"</f>
        <v>153</v>
      </c>
      <c r="G197">
        <v>1</v>
      </c>
      <c r="H197">
        <v>2023</v>
      </c>
      <c r="I197" t="s">
        <v>312</v>
      </c>
    </row>
    <row r="198" spans="1:9" x14ac:dyDescent="0.3">
      <c r="A198" t="s">
        <v>10136</v>
      </c>
      <c r="B198" t="s">
        <v>28</v>
      </c>
      <c r="C198">
        <v>7648876604</v>
      </c>
      <c r="D198" s="2">
        <v>1</v>
      </c>
      <c r="E198" t="str">
        <f>"4574674200959187"</f>
        <v>4574674200959187</v>
      </c>
      <c r="F198" t="str">
        <f>"734"</f>
        <v>734</v>
      </c>
      <c r="G198">
        <v>1</v>
      </c>
      <c r="H198">
        <v>2023</v>
      </c>
      <c r="I198" t="s">
        <v>313</v>
      </c>
    </row>
    <row r="199" spans="1:9" x14ac:dyDescent="0.3">
      <c r="A199" t="s">
        <v>10136</v>
      </c>
      <c r="B199" t="s">
        <v>28</v>
      </c>
      <c r="C199">
        <v>7648876604</v>
      </c>
      <c r="D199" s="2">
        <v>1</v>
      </c>
      <c r="E199" t="str">
        <f>"4574674200959203"</f>
        <v>4574674200959203</v>
      </c>
      <c r="F199" t="str">
        <f>"880"</f>
        <v>880</v>
      </c>
      <c r="G199">
        <v>1</v>
      </c>
      <c r="H199">
        <v>2023</v>
      </c>
      <c r="I199" t="s">
        <v>314</v>
      </c>
    </row>
    <row r="200" spans="1:9" x14ac:dyDescent="0.3">
      <c r="A200" t="s">
        <v>10136</v>
      </c>
      <c r="B200" t="s">
        <v>28</v>
      </c>
      <c r="C200">
        <v>7648876604</v>
      </c>
      <c r="D200" s="2">
        <v>1</v>
      </c>
      <c r="E200" t="str">
        <f>"4574674200431187"</f>
        <v>4574674200431187</v>
      </c>
      <c r="F200" t="str">
        <f>"295"</f>
        <v>295</v>
      </c>
      <c r="G200">
        <v>1</v>
      </c>
      <c r="H200">
        <v>2023</v>
      </c>
      <c r="I200" t="s">
        <v>315</v>
      </c>
    </row>
    <row r="201" spans="1:9" x14ac:dyDescent="0.3">
      <c r="A201" t="s">
        <v>10136</v>
      </c>
      <c r="B201" t="s">
        <v>28</v>
      </c>
      <c r="C201">
        <v>7648876604</v>
      </c>
      <c r="D201" s="2">
        <v>1</v>
      </c>
      <c r="E201" t="str">
        <f>"4574674200959211"</f>
        <v>4574674200959211</v>
      </c>
      <c r="F201" t="str">
        <f>"120"</f>
        <v>120</v>
      </c>
      <c r="G201">
        <v>1</v>
      </c>
      <c r="H201">
        <v>2023</v>
      </c>
      <c r="I201" t="s">
        <v>316</v>
      </c>
    </row>
    <row r="202" spans="1:9" x14ac:dyDescent="0.3">
      <c r="A202" t="s">
        <v>10137</v>
      </c>
      <c r="B202" t="s">
        <v>29</v>
      </c>
      <c r="C202">
        <v>7648876604</v>
      </c>
      <c r="D202" s="2">
        <v>1</v>
      </c>
      <c r="E202" t="str">
        <f>"4574674200959229"</f>
        <v>4574674200959229</v>
      </c>
      <c r="F202" t="str">
        <f>"324"</f>
        <v>324</v>
      </c>
      <c r="G202">
        <v>1</v>
      </c>
      <c r="H202">
        <v>2023</v>
      </c>
      <c r="I202" t="s">
        <v>317</v>
      </c>
    </row>
    <row r="203" spans="1:9" x14ac:dyDescent="0.3">
      <c r="A203" t="s">
        <v>10137</v>
      </c>
      <c r="B203" t="s">
        <v>29</v>
      </c>
      <c r="C203">
        <v>7648876604</v>
      </c>
      <c r="D203" s="2">
        <v>1</v>
      </c>
      <c r="E203" t="str">
        <f>"4574674200958866"</f>
        <v>4574674200958866</v>
      </c>
      <c r="F203" t="str">
        <f>"535"</f>
        <v>535</v>
      </c>
      <c r="G203">
        <v>1</v>
      </c>
      <c r="H203">
        <v>2023</v>
      </c>
      <c r="I203" t="s">
        <v>318</v>
      </c>
    </row>
    <row r="204" spans="1:9" x14ac:dyDescent="0.3">
      <c r="A204" t="s">
        <v>10137</v>
      </c>
      <c r="B204" t="s">
        <v>29</v>
      </c>
      <c r="C204">
        <v>7648876604</v>
      </c>
      <c r="D204" s="2">
        <v>1</v>
      </c>
      <c r="E204" t="str">
        <f>"4574674200959302"</f>
        <v>4574674200959302</v>
      </c>
      <c r="F204" t="str">
        <f>"946"</f>
        <v>946</v>
      </c>
      <c r="G204">
        <v>1</v>
      </c>
      <c r="H204">
        <v>2023</v>
      </c>
      <c r="I204" t="s">
        <v>319</v>
      </c>
    </row>
    <row r="205" spans="1:9" x14ac:dyDescent="0.3">
      <c r="A205" t="s">
        <v>10137</v>
      </c>
      <c r="B205" t="s">
        <v>29</v>
      </c>
      <c r="C205">
        <v>7648876604</v>
      </c>
      <c r="D205" s="2">
        <v>1</v>
      </c>
      <c r="E205" t="str">
        <f>"4574674200431609"</f>
        <v>4574674200431609</v>
      </c>
      <c r="F205" t="str">
        <f>"037"</f>
        <v>037</v>
      </c>
      <c r="G205">
        <v>1</v>
      </c>
      <c r="H205">
        <v>2023</v>
      </c>
      <c r="I205" t="s">
        <v>320</v>
      </c>
    </row>
    <row r="206" spans="1:9" x14ac:dyDescent="0.3">
      <c r="A206" t="s">
        <v>10137</v>
      </c>
      <c r="B206" t="s">
        <v>29</v>
      </c>
      <c r="C206">
        <v>7648876604</v>
      </c>
      <c r="D206" s="2">
        <v>1</v>
      </c>
      <c r="E206" t="str">
        <f>"4574674200959328"</f>
        <v>4574674200959328</v>
      </c>
      <c r="F206" t="str">
        <f>"423"</f>
        <v>423</v>
      </c>
      <c r="G206">
        <v>1</v>
      </c>
      <c r="H206">
        <v>2023</v>
      </c>
      <c r="I206" t="s">
        <v>321</v>
      </c>
    </row>
    <row r="207" spans="1:9" x14ac:dyDescent="0.3">
      <c r="A207" t="s">
        <v>10137</v>
      </c>
      <c r="B207" t="s">
        <v>29</v>
      </c>
      <c r="C207">
        <v>7648876604</v>
      </c>
      <c r="D207" s="2">
        <v>1</v>
      </c>
      <c r="E207" t="str">
        <f>"4574674200959310"</f>
        <v>4574674200959310</v>
      </c>
      <c r="F207" t="str">
        <f>"735"</f>
        <v>735</v>
      </c>
      <c r="G207">
        <v>1</v>
      </c>
      <c r="H207">
        <v>2023</v>
      </c>
      <c r="I207" t="s">
        <v>322</v>
      </c>
    </row>
    <row r="208" spans="1:9" x14ac:dyDescent="0.3">
      <c r="A208" t="s">
        <v>10137</v>
      </c>
      <c r="B208" t="s">
        <v>29</v>
      </c>
      <c r="C208">
        <v>7648876604</v>
      </c>
      <c r="D208" s="2">
        <v>1</v>
      </c>
      <c r="E208" t="str">
        <f>"4574674200959385"</f>
        <v>4574674200959385</v>
      </c>
      <c r="F208" t="str">
        <f>"901"</f>
        <v>901</v>
      </c>
      <c r="G208">
        <v>1</v>
      </c>
      <c r="H208">
        <v>2023</v>
      </c>
      <c r="I208" t="s">
        <v>323</v>
      </c>
    </row>
    <row r="209" spans="1:9" x14ac:dyDescent="0.3">
      <c r="A209" t="s">
        <v>10137</v>
      </c>
      <c r="B209" t="s">
        <v>29</v>
      </c>
      <c r="C209">
        <v>7648876604</v>
      </c>
      <c r="D209" s="2">
        <v>1</v>
      </c>
      <c r="E209" t="str">
        <f>"4574674200959427"</f>
        <v>4574674200959427</v>
      </c>
      <c r="F209" t="str">
        <f>"404"</f>
        <v>404</v>
      </c>
      <c r="G209">
        <v>1</v>
      </c>
      <c r="H209">
        <v>2023</v>
      </c>
      <c r="I209" t="s">
        <v>324</v>
      </c>
    </row>
    <row r="210" spans="1:9" x14ac:dyDescent="0.3">
      <c r="A210" t="s">
        <v>10137</v>
      </c>
      <c r="B210" t="s">
        <v>29</v>
      </c>
      <c r="C210">
        <v>7648876604</v>
      </c>
      <c r="D210" s="2">
        <v>1</v>
      </c>
      <c r="E210" t="str">
        <f>"4574674200959435"</f>
        <v>4574674200959435</v>
      </c>
      <c r="F210" t="str">
        <f>"323"</f>
        <v>323</v>
      </c>
      <c r="G210">
        <v>1</v>
      </c>
      <c r="H210">
        <v>2023</v>
      </c>
      <c r="I210" t="s">
        <v>325</v>
      </c>
    </row>
    <row r="211" spans="1:9" x14ac:dyDescent="0.3">
      <c r="A211" t="s">
        <v>10137</v>
      </c>
      <c r="B211" t="s">
        <v>29</v>
      </c>
      <c r="C211">
        <v>7648876604</v>
      </c>
      <c r="D211" s="2">
        <v>1</v>
      </c>
      <c r="E211" t="str">
        <f>"4574674200431435"</f>
        <v>4574674200431435</v>
      </c>
      <c r="F211" t="str">
        <f>"540"</f>
        <v>540</v>
      </c>
      <c r="G211">
        <v>1</v>
      </c>
      <c r="H211">
        <v>2023</v>
      </c>
      <c r="I211" t="s">
        <v>326</v>
      </c>
    </row>
    <row r="212" spans="1:9" x14ac:dyDescent="0.3">
      <c r="A212" t="s">
        <v>10138</v>
      </c>
      <c r="B212" t="s">
        <v>30</v>
      </c>
      <c r="C212">
        <v>7648876604</v>
      </c>
      <c r="D212" s="2">
        <v>1</v>
      </c>
      <c r="E212" t="str">
        <f>"4574674200959450"</f>
        <v>4574674200959450</v>
      </c>
      <c r="F212" t="str">
        <f>"165"</f>
        <v>165</v>
      </c>
      <c r="G212">
        <v>1</v>
      </c>
      <c r="H212">
        <v>2023</v>
      </c>
      <c r="I212" t="s">
        <v>327</v>
      </c>
    </row>
    <row r="213" spans="1:9" x14ac:dyDescent="0.3">
      <c r="A213" t="s">
        <v>10138</v>
      </c>
      <c r="B213" t="s">
        <v>30</v>
      </c>
      <c r="C213">
        <v>7648876604</v>
      </c>
      <c r="D213" s="2">
        <v>1</v>
      </c>
      <c r="E213" t="str">
        <f>"4574674200959476"</f>
        <v>4574674200959476</v>
      </c>
      <c r="F213" t="str">
        <f>"946"</f>
        <v>946</v>
      </c>
      <c r="G213">
        <v>1</v>
      </c>
      <c r="H213">
        <v>2023</v>
      </c>
      <c r="I213" t="s">
        <v>328</v>
      </c>
    </row>
    <row r="214" spans="1:9" x14ac:dyDescent="0.3">
      <c r="A214" t="s">
        <v>10138</v>
      </c>
      <c r="B214" t="s">
        <v>30</v>
      </c>
      <c r="C214">
        <v>7648876604</v>
      </c>
      <c r="D214" s="2">
        <v>1</v>
      </c>
      <c r="E214" t="str">
        <f>"4574674200959492"</f>
        <v>4574674200959492</v>
      </c>
      <c r="F214" t="str">
        <f>"986"</f>
        <v>986</v>
      </c>
      <c r="G214">
        <v>1</v>
      </c>
      <c r="H214">
        <v>2023</v>
      </c>
      <c r="I214" t="s">
        <v>329</v>
      </c>
    </row>
    <row r="215" spans="1:9" x14ac:dyDescent="0.3">
      <c r="A215" t="s">
        <v>10138</v>
      </c>
      <c r="B215" t="s">
        <v>30</v>
      </c>
      <c r="C215">
        <v>7648876604</v>
      </c>
      <c r="D215" s="2">
        <v>1</v>
      </c>
      <c r="E215" t="str">
        <f>"4574674200959526"</f>
        <v>4574674200959526</v>
      </c>
      <c r="F215" t="str">
        <f>"196"</f>
        <v>196</v>
      </c>
      <c r="G215">
        <v>1</v>
      </c>
      <c r="H215">
        <v>2023</v>
      </c>
      <c r="I215" t="s">
        <v>330</v>
      </c>
    </row>
    <row r="216" spans="1:9" x14ac:dyDescent="0.3">
      <c r="A216" t="s">
        <v>10138</v>
      </c>
      <c r="B216" t="s">
        <v>30</v>
      </c>
      <c r="C216">
        <v>7648876604</v>
      </c>
      <c r="D216" s="2">
        <v>1</v>
      </c>
      <c r="E216" t="str">
        <f>"4574674200431617"</f>
        <v>4574674200431617</v>
      </c>
      <c r="F216" t="str">
        <f>"927"</f>
        <v>927</v>
      </c>
      <c r="G216">
        <v>1</v>
      </c>
      <c r="H216">
        <v>2023</v>
      </c>
      <c r="I216" t="s">
        <v>331</v>
      </c>
    </row>
    <row r="217" spans="1:9" x14ac:dyDescent="0.3">
      <c r="A217" t="s">
        <v>10138</v>
      </c>
      <c r="B217" t="s">
        <v>30</v>
      </c>
      <c r="C217">
        <v>7648876604</v>
      </c>
      <c r="D217" s="2">
        <v>1</v>
      </c>
      <c r="E217" t="str">
        <f>"4574674200959534"</f>
        <v>4574674200959534</v>
      </c>
      <c r="F217" t="str">
        <f>"204"</f>
        <v>204</v>
      </c>
      <c r="G217">
        <v>1</v>
      </c>
      <c r="H217">
        <v>2023</v>
      </c>
      <c r="I217" t="s">
        <v>332</v>
      </c>
    </row>
    <row r="218" spans="1:9" x14ac:dyDescent="0.3">
      <c r="A218" t="s">
        <v>10138</v>
      </c>
      <c r="B218" t="s">
        <v>30</v>
      </c>
      <c r="C218">
        <v>7648876604</v>
      </c>
      <c r="D218" s="2">
        <v>1</v>
      </c>
      <c r="E218" t="str">
        <f>"4574674200431443"</f>
        <v>4574674200431443</v>
      </c>
      <c r="F218" t="str">
        <f>"492"</f>
        <v>492</v>
      </c>
      <c r="G218">
        <v>1</v>
      </c>
      <c r="H218">
        <v>2023</v>
      </c>
      <c r="I218" t="s">
        <v>333</v>
      </c>
    </row>
    <row r="219" spans="1:9" x14ac:dyDescent="0.3">
      <c r="A219" t="s">
        <v>10138</v>
      </c>
      <c r="B219" t="s">
        <v>30</v>
      </c>
      <c r="C219">
        <v>7648876604</v>
      </c>
      <c r="D219" s="2">
        <v>1</v>
      </c>
      <c r="E219" t="str">
        <f>"4574674200959591"</f>
        <v>4574674200959591</v>
      </c>
      <c r="F219" t="str">
        <f>"402"</f>
        <v>402</v>
      </c>
      <c r="G219">
        <v>1</v>
      </c>
      <c r="H219">
        <v>2023</v>
      </c>
      <c r="I219" t="s">
        <v>334</v>
      </c>
    </row>
    <row r="220" spans="1:9" x14ac:dyDescent="0.3">
      <c r="A220" t="s">
        <v>10138</v>
      </c>
      <c r="B220" t="s">
        <v>30</v>
      </c>
      <c r="C220">
        <v>7648876604</v>
      </c>
      <c r="D220" s="2">
        <v>1</v>
      </c>
      <c r="E220" t="str">
        <f>"4574674200958908"</f>
        <v>4574674200958908</v>
      </c>
      <c r="F220" t="str">
        <f>"430"</f>
        <v>430</v>
      </c>
      <c r="G220">
        <v>1</v>
      </c>
      <c r="H220">
        <v>2023</v>
      </c>
      <c r="I220" t="s">
        <v>335</v>
      </c>
    </row>
    <row r="221" spans="1:9" x14ac:dyDescent="0.3">
      <c r="A221" t="s">
        <v>10138</v>
      </c>
      <c r="B221" t="s">
        <v>30</v>
      </c>
      <c r="C221">
        <v>7648876604</v>
      </c>
      <c r="D221" s="2">
        <v>1</v>
      </c>
      <c r="E221" t="str">
        <f>"4574674200431484"</f>
        <v>4574674200431484</v>
      </c>
      <c r="F221" t="str">
        <f>"364"</f>
        <v>364</v>
      </c>
      <c r="G221">
        <v>1</v>
      </c>
      <c r="H221">
        <v>2023</v>
      </c>
      <c r="I221" t="s">
        <v>336</v>
      </c>
    </row>
    <row r="222" spans="1:9" x14ac:dyDescent="0.3">
      <c r="A222" t="s">
        <v>10139</v>
      </c>
      <c r="B222" t="s">
        <v>31</v>
      </c>
      <c r="C222">
        <v>7648876604</v>
      </c>
      <c r="D222" s="2">
        <v>1</v>
      </c>
      <c r="E222" t="str">
        <f>"4574674200959658"</f>
        <v>4574674200959658</v>
      </c>
      <c r="F222" t="str">
        <f>"436"</f>
        <v>436</v>
      </c>
      <c r="G222">
        <v>1</v>
      </c>
      <c r="H222">
        <v>2023</v>
      </c>
      <c r="I222" t="s">
        <v>337</v>
      </c>
    </row>
    <row r="223" spans="1:9" x14ac:dyDescent="0.3">
      <c r="A223" t="s">
        <v>10139</v>
      </c>
      <c r="B223" t="s">
        <v>31</v>
      </c>
      <c r="C223">
        <v>7648876604</v>
      </c>
      <c r="D223" s="2">
        <v>1</v>
      </c>
      <c r="E223" t="str">
        <f>"4574674200431682"</f>
        <v>4574674200431682</v>
      </c>
      <c r="F223" t="str">
        <f>"983"</f>
        <v>983</v>
      </c>
      <c r="G223">
        <v>1</v>
      </c>
      <c r="H223">
        <v>2023</v>
      </c>
      <c r="I223" t="s">
        <v>338</v>
      </c>
    </row>
    <row r="224" spans="1:9" x14ac:dyDescent="0.3">
      <c r="A224" t="s">
        <v>10139</v>
      </c>
      <c r="B224" t="s">
        <v>31</v>
      </c>
      <c r="C224">
        <v>7648876604</v>
      </c>
      <c r="D224" s="2">
        <v>1</v>
      </c>
      <c r="E224" t="str">
        <f>"4574674200959674"</f>
        <v>4574674200959674</v>
      </c>
      <c r="F224" t="str">
        <f>"650"</f>
        <v>650</v>
      </c>
      <c r="G224">
        <v>1</v>
      </c>
      <c r="H224">
        <v>2023</v>
      </c>
      <c r="I224" t="s">
        <v>339</v>
      </c>
    </row>
    <row r="225" spans="1:9" x14ac:dyDescent="0.3">
      <c r="A225" t="s">
        <v>10139</v>
      </c>
      <c r="B225" t="s">
        <v>31</v>
      </c>
      <c r="C225">
        <v>7648876604</v>
      </c>
      <c r="D225" s="2">
        <v>1</v>
      </c>
      <c r="E225" t="str">
        <f>"4574674200959682"</f>
        <v>4574674200959682</v>
      </c>
      <c r="F225" t="str">
        <f>"149"</f>
        <v>149</v>
      </c>
      <c r="G225">
        <v>1</v>
      </c>
      <c r="H225">
        <v>2023</v>
      </c>
      <c r="I225" t="s">
        <v>340</v>
      </c>
    </row>
    <row r="226" spans="1:9" x14ac:dyDescent="0.3">
      <c r="A226" t="s">
        <v>10139</v>
      </c>
      <c r="B226" t="s">
        <v>31</v>
      </c>
      <c r="C226">
        <v>7648876604</v>
      </c>
      <c r="D226" s="2">
        <v>1</v>
      </c>
      <c r="E226" t="str">
        <f>"4574674200431716"</f>
        <v>4574674200431716</v>
      </c>
      <c r="F226" t="str">
        <f>"160"</f>
        <v>160</v>
      </c>
      <c r="G226">
        <v>1</v>
      </c>
      <c r="H226">
        <v>2023</v>
      </c>
      <c r="I226" t="s">
        <v>341</v>
      </c>
    </row>
    <row r="227" spans="1:9" x14ac:dyDescent="0.3">
      <c r="A227" t="s">
        <v>10139</v>
      </c>
      <c r="B227" t="s">
        <v>31</v>
      </c>
      <c r="C227">
        <v>7648876604</v>
      </c>
      <c r="D227" s="2">
        <v>1</v>
      </c>
      <c r="E227" t="str">
        <f>"4574674200959690"</f>
        <v>4574674200959690</v>
      </c>
      <c r="F227" t="str">
        <f>"967"</f>
        <v>967</v>
      </c>
      <c r="G227">
        <v>1</v>
      </c>
      <c r="H227">
        <v>2023</v>
      </c>
      <c r="I227" t="s">
        <v>342</v>
      </c>
    </row>
    <row r="228" spans="1:9" x14ac:dyDescent="0.3">
      <c r="A228" t="s">
        <v>10139</v>
      </c>
      <c r="B228" t="s">
        <v>31</v>
      </c>
      <c r="C228">
        <v>7648876604</v>
      </c>
      <c r="D228" s="2">
        <v>1</v>
      </c>
      <c r="E228" t="str">
        <f>"4574674200431740"</f>
        <v>4574674200431740</v>
      </c>
      <c r="F228" t="str">
        <f>"686"</f>
        <v>686</v>
      </c>
      <c r="G228">
        <v>1</v>
      </c>
      <c r="H228">
        <v>2023</v>
      </c>
      <c r="I228" t="s">
        <v>343</v>
      </c>
    </row>
    <row r="229" spans="1:9" x14ac:dyDescent="0.3">
      <c r="A229" t="s">
        <v>10139</v>
      </c>
      <c r="B229" t="s">
        <v>31</v>
      </c>
      <c r="C229">
        <v>7648876604</v>
      </c>
      <c r="D229" s="2">
        <v>1</v>
      </c>
      <c r="E229" t="str">
        <f>"4574674200959716"</f>
        <v>4574674200959716</v>
      </c>
      <c r="F229" t="str">
        <f>"807"</f>
        <v>807</v>
      </c>
      <c r="G229">
        <v>1</v>
      </c>
      <c r="H229">
        <v>2023</v>
      </c>
      <c r="I229" t="s">
        <v>344</v>
      </c>
    </row>
    <row r="230" spans="1:9" x14ac:dyDescent="0.3">
      <c r="A230" t="s">
        <v>10139</v>
      </c>
      <c r="B230" t="s">
        <v>31</v>
      </c>
      <c r="C230">
        <v>7648876604</v>
      </c>
      <c r="D230" s="2">
        <v>1</v>
      </c>
      <c r="E230" t="str">
        <f>"4574674200959781"</f>
        <v>4574674200959781</v>
      </c>
      <c r="F230" t="str">
        <f>"366"</f>
        <v>366</v>
      </c>
      <c r="G230">
        <v>1</v>
      </c>
      <c r="H230">
        <v>2023</v>
      </c>
      <c r="I230" t="s">
        <v>345</v>
      </c>
    </row>
    <row r="231" spans="1:9" x14ac:dyDescent="0.3">
      <c r="A231" t="s">
        <v>10139</v>
      </c>
      <c r="B231" t="s">
        <v>31</v>
      </c>
      <c r="C231">
        <v>7648876604</v>
      </c>
      <c r="D231" s="2">
        <v>1</v>
      </c>
      <c r="E231" t="str">
        <f>"4574674200431526"</f>
        <v>4574674200431526</v>
      </c>
      <c r="F231" t="str">
        <f>"465"</f>
        <v>465</v>
      </c>
      <c r="G231">
        <v>1</v>
      </c>
      <c r="H231">
        <v>2023</v>
      </c>
      <c r="I231" t="s">
        <v>346</v>
      </c>
    </row>
    <row r="232" spans="1:9" x14ac:dyDescent="0.3">
      <c r="A232" t="s">
        <v>10138</v>
      </c>
      <c r="B232" t="s">
        <v>30</v>
      </c>
      <c r="C232">
        <v>7648876604</v>
      </c>
      <c r="D232" s="2">
        <v>1</v>
      </c>
      <c r="E232" t="str">
        <f>"4574674200959807"</f>
        <v>4574674200959807</v>
      </c>
      <c r="F232" t="str">
        <f>"883"</f>
        <v>883</v>
      </c>
      <c r="G232">
        <v>1</v>
      </c>
      <c r="H232">
        <v>2023</v>
      </c>
      <c r="I232" t="s">
        <v>347</v>
      </c>
    </row>
    <row r="233" spans="1:9" x14ac:dyDescent="0.3">
      <c r="A233" t="s">
        <v>10138</v>
      </c>
      <c r="B233" t="s">
        <v>30</v>
      </c>
      <c r="C233">
        <v>7648876604</v>
      </c>
      <c r="D233" s="2">
        <v>1</v>
      </c>
      <c r="E233" t="str">
        <f>"4574674200959823"</f>
        <v>4574674200959823</v>
      </c>
      <c r="F233" t="str">
        <f>"375"</f>
        <v>375</v>
      </c>
      <c r="G233">
        <v>1</v>
      </c>
      <c r="H233">
        <v>2023</v>
      </c>
      <c r="I233" t="s">
        <v>348</v>
      </c>
    </row>
    <row r="234" spans="1:9" x14ac:dyDescent="0.3">
      <c r="A234" t="s">
        <v>10138</v>
      </c>
      <c r="B234" t="s">
        <v>30</v>
      </c>
      <c r="C234">
        <v>7648876604</v>
      </c>
      <c r="D234" s="2">
        <v>1</v>
      </c>
      <c r="E234" t="str">
        <f>"4574674200431815"</f>
        <v>4574674200431815</v>
      </c>
      <c r="F234" t="str">
        <f>"078"</f>
        <v>078</v>
      </c>
      <c r="G234">
        <v>1</v>
      </c>
      <c r="H234">
        <v>2023</v>
      </c>
      <c r="I234" t="s">
        <v>349</v>
      </c>
    </row>
    <row r="235" spans="1:9" x14ac:dyDescent="0.3">
      <c r="A235" t="s">
        <v>10138</v>
      </c>
      <c r="B235" t="s">
        <v>30</v>
      </c>
      <c r="C235">
        <v>7648876604</v>
      </c>
      <c r="D235" s="2">
        <v>1</v>
      </c>
      <c r="E235" t="str">
        <f>"4574674200959815"</f>
        <v>4574674200959815</v>
      </c>
      <c r="F235" t="str">
        <f>"566"</f>
        <v>566</v>
      </c>
      <c r="G235">
        <v>1</v>
      </c>
      <c r="H235">
        <v>2023</v>
      </c>
      <c r="I235" t="s">
        <v>350</v>
      </c>
    </row>
    <row r="236" spans="1:9" x14ac:dyDescent="0.3">
      <c r="A236" t="s">
        <v>10138</v>
      </c>
      <c r="B236" t="s">
        <v>30</v>
      </c>
      <c r="C236">
        <v>7648876604</v>
      </c>
      <c r="D236" s="2">
        <v>1</v>
      </c>
      <c r="E236" t="str">
        <f>"4574674200431542"</f>
        <v>4574674200431542</v>
      </c>
      <c r="F236" t="str">
        <f>"138"</f>
        <v>138</v>
      </c>
      <c r="G236">
        <v>1</v>
      </c>
      <c r="H236">
        <v>2023</v>
      </c>
      <c r="I236" t="s">
        <v>351</v>
      </c>
    </row>
    <row r="237" spans="1:9" x14ac:dyDescent="0.3">
      <c r="A237" t="s">
        <v>10138</v>
      </c>
      <c r="B237" t="s">
        <v>30</v>
      </c>
      <c r="C237">
        <v>7648876604</v>
      </c>
      <c r="D237" s="2">
        <v>1</v>
      </c>
      <c r="E237" t="str">
        <f>"4574674200959831"</f>
        <v>4574674200959831</v>
      </c>
      <c r="F237" t="str">
        <f>"920"</f>
        <v>920</v>
      </c>
      <c r="G237">
        <v>1</v>
      </c>
      <c r="H237">
        <v>2023</v>
      </c>
      <c r="I237" t="s">
        <v>352</v>
      </c>
    </row>
    <row r="238" spans="1:9" x14ac:dyDescent="0.3">
      <c r="A238" t="s">
        <v>10138</v>
      </c>
      <c r="B238" t="s">
        <v>30</v>
      </c>
      <c r="C238">
        <v>7648876604</v>
      </c>
      <c r="D238" s="2">
        <v>1</v>
      </c>
      <c r="E238" t="str">
        <f>"4574674200959872"</f>
        <v>4574674200959872</v>
      </c>
      <c r="F238" t="str">
        <f>"999"</f>
        <v>999</v>
      </c>
      <c r="G238">
        <v>1</v>
      </c>
      <c r="H238">
        <v>2023</v>
      </c>
      <c r="I238" t="s">
        <v>353</v>
      </c>
    </row>
    <row r="239" spans="1:9" x14ac:dyDescent="0.3">
      <c r="A239" t="s">
        <v>10138</v>
      </c>
      <c r="B239" t="s">
        <v>30</v>
      </c>
      <c r="C239">
        <v>7648876604</v>
      </c>
      <c r="D239" s="2">
        <v>1</v>
      </c>
      <c r="E239" t="str">
        <f>"4574674200958940"</f>
        <v>4574674200958940</v>
      </c>
      <c r="F239" t="str">
        <f>"386"</f>
        <v>386</v>
      </c>
      <c r="G239">
        <v>1</v>
      </c>
      <c r="H239">
        <v>2023</v>
      </c>
      <c r="I239" t="s">
        <v>354</v>
      </c>
    </row>
    <row r="240" spans="1:9" x14ac:dyDescent="0.3">
      <c r="A240" t="s">
        <v>10138</v>
      </c>
      <c r="B240" t="s">
        <v>30</v>
      </c>
      <c r="C240">
        <v>7648876604</v>
      </c>
      <c r="D240" s="2">
        <v>1</v>
      </c>
      <c r="E240" t="str">
        <f>"4574674200431864"</f>
        <v>4574674200431864</v>
      </c>
      <c r="F240" t="str">
        <f>"111"</f>
        <v>111</v>
      </c>
      <c r="G240">
        <v>1</v>
      </c>
      <c r="H240">
        <v>2023</v>
      </c>
      <c r="I240" t="s">
        <v>355</v>
      </c>
    </row>
    <row r="241" spans="1:9" x14ac:dyDescent="0.3">
      <c r="A241" t="s">
        <v>10138</v>
      </c>
      <c r="B241" t="s">
        <v>30</v>
      </c>
      <c r="C241">
        <v>7648876604</v>
      </c>
      <c r="D241" s="2">
        <v>1</v>
      </c>
      <c r="E241" t="str">
        <f>"4574674200432029"</f>
        <v>4574674200432029</v>
      </c>
      <c r="F241" t="str">
        <f>"037"</f>
        <v>037</v>
      </c>
      <c r="G241">
        <v>1</v>
      </c>
      <c r="H241">
        <v>2023</v>
      </c>
      <c r="I241" t="s">
        <v>356</v>
      </c>
    </row>
    <row r="242" spans="1:9" x14ac:dyDescent="0.3">
      <c r="A242" t="s">
        <v>10140</v>
      </c>
      <c r="B242" t="s">
        <v>32</v>
      </c>
      <c r="C242">
        <v>7648876604</v>
      </c>
      <c r="D242" s="2">
        <v>1</v>
      </c>
      <c r="E242" t="str">
        <f>"4574674200959971"</f>
        <v>4574674200959971</v>
      </c>
      <c r="F242" t="str">
        <f>"337"</f>
        <v>337</v>
      </c>
      <c r="G242">
        <v>1</v>
      </c>
      <c r="H242">
        <v>2023</v>
      </c>
      <c r="I242" t="s">
        <v>357</v>
      </c>
    </row>
    <row r="243" spans="1:9" x14ac:dyDescent="0.3">
      <c r="A243" t="s">
        <v>10140</v>
      </c>
      <c r="B243" t="s">
        <v>32</v>
      </c>
      <c r="C243">
        <v>7648876604</v>
      </c>
      <c r="D243" s="2">
        <v>1</v>
      </c>
      <c r="E243" t="str">
        <f>"4574674200432011"</f>
        <v>4574674200432011</v>
      </c>
      <c r="F243" t="str">
        <f>"554"</f>
        <v>554</v>
      </c>
      <c r="G243">
        <v>1</v>
      </c>
      <c r="H243">
        <v>2023</v>
      </c>
      <c r="I243" t="s">
        <v>358</v>
      </c>
    </row>
    <row r="244" spans="1:9" x14ac:dyDescent="0.3">
      <c r="A244" t="s">
        <v>10140</v>
      </c>
      <c r="B244" t="s">
        <v>32</v>
      </c>
      <c r="C244">
        <v>7648876604</v>
      </c>
      <c r="D244" s="2">
        <v>1</v>
      </c>
      <c r="E244" t="str">
        <f>"4574674200959963"</f>
        <v>4574674200959963</v>
      </c>
      <c r="F244" t="str">
        <f>"349"</f>
        <v>349</v>
      </c>
      <c r="G244">
        <v>1</v>
      </c>
      <c r="H244">
        <v>2023</v>
      </c>
      <c r="I244" t="s">
        <v>359</v>
      </c>
    </row>
    <row r="245" spans="1:9" x14ac:dyDescent="0.3">
      <c r="A245" t="s">
        <v>10140</v>
      </c>
      <c r="B245" t="s">
        <v>32</v>
      </c>
      <c r="C245">
        <v>7648876604</v>
      </c>
      <c r="D245" s="2">
        <v>1</v>
      </c>
      <c r="E245" t="str">
        <f>"4574674200959989"</f>
        <v>4574674200959989</v>
      </c>
      <c r="F245" t="str">
        <f>"525"</f>
        <v>525</v>
      </c>
      <c r="G245">
        <v>1</v>
      </c>
      <c r="H245">
        <v>2023</v>
      </c>
      <c r="I245" t="s">
        <v>360</v>
      </c>
    </row>
    <row r="246" spans="1:9" x14ac:dyDescent="0.3">
      <c r="A246" t="s">
        <v>10140</v>
      </c>
      <c r="B246" t="s">
        <v>32</v>
      </c>
      <c r="C246">
        <v>7648876604</v>
      </c>
      <c r="D246" s="2">
        <v>1</v>
      </c>
      <c r="E246" t="str">
        <f>"4574674200432045"</f>
        <v>4574674200432045</v>
      </c>
      <c r="F246" t="str">
        <f>"147"</f>
        <v>147</v>
      </c>
      <c r="G246">
        <v>1</v>
      </c>
      <c r="H246">
        <v>2023</v>
      </c>
      <c r="I246" t="s">
        <v>361</v>
      </c>
    </row>
    <row r="247" spans="1:9" x14ac:dyDescent="0.3">
      <c r="A247" t="s">
        <v>10140</v>
      </c>
      <c r="B247" t="s">
        <v>32</v>
      </c>
      <c r="C247">
        <v>7648876604</v>
      </c>
      <c r="D247" s="2">
        <v>1</v>
      </c>
      <c r="E247" t="str">
        <f>"4574674200960011"</f>
        <v>4574674200960011</v>
      </c>
      <c r="F247" t="str">
        <f>"787"</f>
        <v>787</v>
      </c>
      <c r="G247">
        <v>1</v>
      </c>
      <c r="H247">
        <v>2023</v>
      </c>
      <c r="I247" t="s">
        <v>362</v>
      </c>
    </row>
    <row r="248" spans="1:9" x14ac:dyDescent="0.3">
      <c r="A248" t="s">
        <v>10140</v>
      </c>
      <c r="B248" t="s">
        <v>32</v>
      </c>
      <c r="C248">
        <v>7648876604</v>
      </c>
      <c r="D248" s="2">
        <v>1</v>
      </c>
      <c r="E248" t="str">
        <f>"4574674200431872"</f>
        <v>4574674200431872</v>
      </c>
      <c r="F248" t="str">
        <f>"210"</f>
        <v>210</v>
      </c>
      <c r="G248">
        <v>1</v>
      </c>
      <c r="H248">
        <v>2023</v>
      </c>
      <c r="I248" t="s">
        <v>363</v>
      </c>
    </row>
    <row r="249" spans="1:9" x14ac:dyDescent="0.3">
      <c r="A249" t="s">
        <v>10140</v>
      </c>
      <c r="B249" t="s">
        <v>32</v>
      </c>
      <c r="C249">
        <v>7648876604</v>
      </c>
      <c r="D249" s="2">
        <v>1</v>
      </c>
      <c r="E249" t="str">
        <f>"4574674200959997"</f>
        <v>4574674200959997</v>
      </c>
      <c r="F249" t="str">
        <f>"384"</f>
        <v>384</v>
      </c>
      <c r="G249">
        <v>1</v>
      </c>
      <c r="H249">
        <v>2023</v>
      </c>
      <c r="I249" t="s">
        <v>364</v>
      </c>
    </row>
    <row r="250" spans="1:9" x14ac:dyDescent="0.3">
      <c r="A250" t="s">
        <v>10140</v>
      </c>
      <c r="B250" t="s">
        <v>32</v>
      </c>
      <c r="C250">
        <v>7648876604</v>
      </c>
      <c r="D250" s="2">
        <v>1</v>
      </c>
      <c r="E250" t="str">
        <f>"4574674200431948"</f>
        <v>4574674200431948</v>
      </c>
      <c r="F250" t="str">
        <f>"384"</f>
        <v>384</v>
      </c>
      <c r="G250">
        <v>1</v>
      </c>
      <c r="H250">
        <v>2023</v>
      </c>
      <c r="I250" t="s">
        <v>365</v>
      </c>
    </row>
    <row r="251" spans="1:9" x14ac:dyDescent="0.3">
      <c r="A251" t="s">
        <v>10140</v>
      </c>
      <c r="B251" t="s">
        <v>32</v>
      </c>
      <c r="C251">
        <v>7648876604</v>
      </c>
      <c r="D251" s="2">
        <v>1</v>
      </c>
      <c r="E251" t="str">
        <f>"4574674200432128"</f>
        <v>4574674200432128</v>
      </c>
      <c r="F251" t="str">
        <f>"373"</f>
        <v>373</v>
      </c>
      <c r="G251">
        <v>1</v>
      </c>
      <c r="H251">
        <v>2023</v>
      </c>
      <c r="I251" t="s">
        <v>366</v>
      </c>
    </row>
    <row r="252" spans="1:9" x14ac:dyDescent="0.3">
      <c r="A252" t="s">
        <v>10141</v>
      </c>
      <c r="B252" t="s">
        <v>33</v>
      </c>
      <c r="C252">
        <v>7648876604</v>
      </c>
      <c r="D252" s="2">
        <v>1</v>
      </c>
      <c r="E252" t="str">
        <f>"4574674200431955"</f>
        <v>4574674200431955</v>
      </c>
      <c r="F252" t="str">
        <f>"581"</f>
        <v>581</v>
      </c>
      <c r="G252">
        <v>1</v>
      </c>
      <c r="H252">
        <v>2023</v>
      </c>
      <c r="I252" t="s">
        <v>367</v>
      </c>
    </row>
    <row r="253" spans="1:9" x14ac:dyDescent="0.3">
      <c r="A253" t="s">
        <v>10141</v>
      </c>
      <c r="B253" t="s">
        <v>33</v>
      </c>
      <c r="C253">
        <v>7648876604</v>
      </c>
      <c r="D253" s="2">
        <v>1</v>
      </c>
      <c r="E253" t="str">
        <f>"4574674200432151"</f>
        <v>4574674200432151</v>
      </c>
      <c r="F253" t="str">
        <f>"224"</f>
        <v>224</v>
      </c>
      <c r="G253">
        <v>1</v>
      </c>
      <c r="H253">
        <v>2023</v>
      </c>
      <c r="I253" t="s">
        <v>368</v>
      </c>
    </row>
    <row r="254" spans="1:9" x14ac:dyDescent="0.3">
      <c r="A254" t="s">
        <v>10141</v>
      </c>
      <c r="B254" t="s">
        <v>33</v>
      </c>
      <c r="C254">
        <v>7648876604</v>
      </c>
      <c r="D254" s="2">
        <v>1</v>
      </c>
      <c r="E254" t="str">
        <f>"4574674200432136"</f>
        <v>4574674200432136</v>
      </c>
      <c r="F254" t="str">
        <f>"529"</f>
        <v>529</v>
      </c>
      <c r="G254">
        <v>1</v>
      </c>
      <c r="H254">
        <v>2023</v>
      </c>
      <c r="I254" t="s">
        <v>369</v>
      </c>
    </row>
    <row r="255" spans="1:9" x14ac:dyDescent="0.3">
      <c r="A255" t="s">
        <v>10141</v>
      </c>
      <c r="B255" t="s">
        <v>33</v>
      </c>
      <c r="C255">
        <v>7648876604</v>
      </c>
      <c r="D255" s="2">
        <v>1</v>
      </c>
      <c r="E255" t="str">
        <f>"4574674200431971"</f>
        <v>4574674200431971</v>
      </c>
      <c r="F255" t="str">
        <f>"276"</f>
        <v>276</v>
      </c>
      <c r="G255">
        <v>1</v>
      </c>
      <c r="H255">
        <v>2023</v>
      </c>
      <c r="I255" t="s">
        <v>370</v>
      </c>
    </row>
    <row r="256" spans="1:9" x14ac:dyDescent="0.3">
      <c r="A256" t="s">
        <v>10141</v>
      </c>
      <c r="B256" t="s">
        <v>33</v>
      </c>
      <c r="C256">
        <v>7648876604</v>
      </c>
      <c r="D256" s="2">
        <v>1</v>
      </c>
      <c r="E256" t="str">
        <f>"4574674200431989"</f>
        <v>4574674200431989</v>
      </c>
      <c r="F256" t="str">
        <f>"405"</f>
        <v>405</v>
      </c>
      <c r="G256">
        <v>1</v>
      </c>
      <c r="H256">
        <v>2023</v>
      </c>
      <c r="I256" t="s">
        <v>371</v>
      </c>
    </row>
    <row r="257" spans="1:9" x14ac:dyDescent="0.3">
      <c r="A257" t="s">
        <v>10141</v>
      </c>
      <c r="B257" t="s">
        <v>33</v>
      </c>
      <c r="C257">
        <v>7648876604</v>
      </c>
      <c r="D257" s="2">
        <v>1</v>
      </c>
      <c r="E257" t="str">
        <f>"4574674200432235"</f>
        <v>4574674200432235</v>
      </c>
      <c r="F257" t="str">
        <f>"481"</f>
        <v>481</v>
      </c>
      <c r="G257">
        <v>1</v>
      </c>
      <c r="H257">
        <v>2023</v>
      </c>
      <c r="I257" t="s">
        <v>372</v>
      </c>
    </row>
    <row r="258" spans="1:9" x14ac:dyDescent="0.3">
      <c r="A258" t="s">
        <v>10141</v>
      </c>
      <c r="B258" t="s">
        <v>33</v>
      </c>
      <c r="C258">
        <v>7648876604</v>
      </c>
      <c r="D258" s="2">
        <v>1</v>
      </c>
      <c r="E258" t="str">
        <f>"4574674200960029"</f>
        <v>4574674200960029</v>
      </c>
      <c r="F258" t="str">
        <f>"339"</f>
        <v>339</v>
      </c>
      <c r="G258">
        <v>1</v>
      </c>
      <c r="H258">
        <v>2023</v>
      </c>
      <c r="I258" t="s">
        <v>373</v>
      </c>
    </row>
    <row r="259" spans="1:9" x14ac:dyDescent="0.3">
      <c r="A259" t="s">
        <v>10141</v>
      </c>
      <c r="B259" t="s">
        <v>33</v>
      </c>
      <c r="C259">
        <v>7648876604</v>
      </c>
      <c r="D259" s="2">
        <v>1</v>
      </c>
      <c r="E259" t="str">
        <f>"4574674200432243"</f>
        <v>4574674200432243</v>
      </c>
      <c r="F259" t="str">
        <f>"616"</f>
        <v>616</v>
      </c>
      <c r="G259">
        <v>1</v>
      </c>
      <c r="H259">
        <v>2023</v>
      </c>
      <c r="I259" t="s">
        <v>374</v>
      </c>
    </row>
    <row r="260" spans="1:9" x14ac:dyDescent="0.3">
      <c r="A260" t="s">
        <v>10141</v>
      </c>
      <c r="B260" t="s">
        <v>33</v>
      </c>
      <c r="C260">
        <v>7648876604</v>
      </c>
      <c r="D260" s="2">
        <v>1</v>
      </c>
      <c r="E260" t="str">
        <f>"4574674200960128"</f>
        <v>4574674200960128</v>
      </c>
      <c r="F260" t="str">
        <f>"491"</f>
        <v>491</v>
      </c>
      <c r="G260">
        <v>1</v>
      </c>
      <c r="H260">
        <v>2023</v>
      </c>
      <c r="I260" t="s">
        <v>375</v>
      </c>
    </row>
    <row r="261" spans="1:9" x14ac:dyDescent="0.3">
      <c r="A261" t="s">
        <v>10141</v>
      </c>
      <c r="B261" t="s">
        <v>33</v>
      </c>
      <c r="C261">
        <v>7648876604</v>
      </c>
      <c r="D261" s="2">
        <v>1</v>
      </c>
      <c r="E261" t="str">
        <f>"4574674200432276"</f>
        <v>4574674200432276</v>
      </c>
      <c r="F261" t="str">
        <f>"101"</f>
        <v>101</v>
      </c>
      <c r="G261">
        <v>1</v>
      </c>
      <c r="H261">
        <v>2023</v>
      </c>
      <c r="I261" t="s">
        <v>376</v>
      </c>
    </row>
    <row r="262" spans="1:9" x14ac:dyDescent="0.3">
      <c r="A262" t="s">
        <v>10142</v>
      </c>
      <c r="B262" t="s">
        <v>34</v>
      </c>
      <c r="C262">
        <v>7648876604</v>
      </c>
      <c r="D262" s="2">
        <v>1</v>
      </c>
      <c r="E262" t="str">
        <f>"4574674200432268"</f>
        <v>4574674200432268</v>
      </c>
      <c r="F262" t="str">
        <f>"173"</f>
        <v>173</v>
      </c>
      <c r="G262">
        <v>1</v>
      </c>
      <c r="H262">
        <v>2023</v>
      </c>
      <c r="I262" t="s">
        <v>377</v>
      </c>
    </row>
    <row r="263" spans="1:9" x14ac:dyDescent="0.3">
      <c r="A263" t="s">
        <v>10142</v>
      </c>
      <c r="B263" t="s">
        <v>34</v>
      </c>
      <c r="C263">
        <v>7648876604</v>
      </c>
      <c r="D263" s="2">
        <v>1</v>
      </c>
      <c r="E263" t="str">
        <f>"4574674200432490"</f>
        <v>4574674200432490</v>
      </c>
      <c r="F263" t="str">
        <f>"094"</f>
        <v>094</v>
      </c>
      <c r="G263">
        <v>1</v>
      </c>
      <c r="H263">
        <v>2023</v>
      </c>
      <c r="I263" t="s">
        <v>378</v>
      </c>
    </row>
    <row r="264" spans="1:9" x14ac:dyDescent="0.3">
      <c r="A264" t="s">
        <v>10142</v>
      </c>
      <c r="B264" t="s">
        <v>34</v>
      </c>
      <c r="C264">
        <v>7648876604</v>
      </c>
      <c r="D264" s="2">
        <v>1</v>
      </c>
      <c r="E264" t="str">
        <f>"4574674200432482"</f>
        <v>4574674200432482</v>
      </c>
      <c r="F264" t="str">
        <f>"685"</f>
        <v>685</v>
      </c>
      <c r="G264">
        <v>1</v>
      </c>
      <c r="H264">
        <v>2023</v>
      </c>
      <c r="I264" t="s">
        <v>379</v>
      </c>
    </row>
    <row r="265" spans="1:9" x14ac:dyDescent="0.3">
      <c r="A265" t="s">
        <v>10142</v>
      </c>
      <c r="B265" t="s">
        <v>34</v>
      </c>
      <c r="C265">
        <v>7648876604</v>
      </c>
      <c r="D265" s="2">
        <v>1</v>
      </c>
      <c r="E265" t="str">
        <f>"4574674200432573"</f>
        <v>4574674200432573</v>
      </c>
      <c r="F265" t="str">
        <f>"962"</f>
        <v>962</v>
      </c>
      <c r="G265">
        <v>1</v>
      </c>
      <c r="H265">
        <v>2023</v>
      </c>
      <c r="I265" t="s">
        <v>380</v>
      </c>
    </row>
    <row r="266" spans="1:9" x14ac:dyDescent="0.3">
      <c r="A266" t="s">
        <v>10142</v>
      </c>
      <c r="B266" t="s">
        <v>34</v>
      </c>
      <c r="C266">
        <v>7648876604</v>
      </c>
      <c r="D266" s="2">
        <v>1</v>
      </c>
      <c r="E266" t="str">
        <f>"4574674200432375"</f>
        <v>4574674200432375</v>
      </c>
      <c r="F266" t="str">
        <f>"854"</f>
        <v>854</v>
      </c>
      <c r="G266">
        <v>1</v>
      </c>
      <c r="H266">
        <v>2023</v>
      </c>
      <c r="I266" t="s">
        <v>381</v>
      </c>
    </row>
    <row r="267" spans="1:9" x14ac:dyDescent="0.3">
      <c r="A267" t="s">
        <v>10142</v>
      </c>
      <c r="B267" t="s">
        <v>34</v>
      </c>
      <c r="C267">
        <v>7648876604</v>
      </c>
      <c r="D267" s="2">
        <v>1</v>
      </c>
      <c r="E267" t="str">
        <f>"4574674200432615"</f>
        <v>4574674200432615</v>
      </c>
      <c r="F267" t="str">
        <f>"377"</f>
        <v>377</v>
      </c>
      <c r="G267">
        <v>1</v>
      </c>
      <c r="H267">
        <v>2023</v>
      </c>
      <c r="I267" t="s">
        <v>382</v>
      </c>
    </row>
    <row r="268" spans="1:9" x14ac:dyDescent="0.3">
      <c r="A268" t="s">
        <v>10142</v>
      </c>
      <c r="B268" t="s">
        <v>34</v>
      </c>
      <c r="C268">
        <v>7648876604</v>
      </c>
      <c r="D268" s="2">
        <v>1</v>
      </c>
      <c r="E268" t="str">
        <f>"4574674200960136"</f>
        <v>4574674200960136</v>
      </c>
      <c r="F268" t="str">
        <f>"289"</f>
        <v>289</v>
      </c>
      <c r="G268">
        <v>1</v>
      </c>
      <c r="H268">
        <v>2023</v>
      </c>
      <c r="I268" t="s">
        <v>383</v>
      </c>
    </row>
    <row r="269" spans="1:9" x14ac:dyDescent="0.3">
      <c r="A269" t="s">
        <v>10142</v>
      </c>
      <c r="B269" t="s">
        <v>34</v>
      </c>
      <c r="C269">
        <v>7648876604</v>
      </c>
      <c r="D269" s="2">
        <v>1</v>
      </c>
      <c r="E269" t="str">
        <f>"4574674200432581"</f>
        <v>4574674200432581</v>
      </c>
      <c r="F269" t="str">
        <f>"127"</f>
        <v>127</v>
      </c>
      <c r="G269">
        <v>1</v>
      </c>
      <c r="H269">
        <v>2023</v>
      </c>
      <c r="I269" t="s">
        <v>384</v>
      </c>
    </row>
    <row r="270" spans="1:9" x14ac:dyDescent="0.3">
      <c r="A270" t="s">
        <v>10142</v>
      </c>
      <c r="B270" t="s">
        <v>34</v>
      </c>
      <c r="C270">
        <v>7648876604</v>
      </c>
      <c r="D270" s="2">
        <v>1</v>
      </c>
      <c r="E270" t="str">
        <f>"4574674200960185"</f>
        <v>4574674200960185</v>
      </c>
      <c r="F270" t="str">
        <f>"212"</f>
        <v>212</v>
      </c>
      <c r="G270">
        <v>1</v>
      </c>
      <c r="H270">
        <v>2023</v>
      </c>
      <c r="I270" t="s">
        <v>385</v>
      </c>
    </row>
    <row r="271" spans="1:9" x14ac:dyDescent="0.3">
      <c r="A271" t="s">
        <v>10142</v>
      </c>
      <c r="B271" t="s">
        <v>34</v>
      </c>
      <c r="C271">
        <v>7648876604</v>
      </c>
      <c r="D271" s="2">
        <v>1</v>
      </c>
      <c r="E271" t="str">
        <f>"4574674200960177"</f>
        <v>4574674200960177</v>
      </c>
      <c r="F271" t="str">
        <f>"750"</f>
        <v>750</v>
      </c>
      <c r="G271">
        <v>1</v>
      </c>
      <c r="H271">
        <v>2023</v>
      </c>
      <c r="I271" t="s">
        <v>386</v>
      </c>
    </row>
    <row r="272" spans="1:9" x14ac:dyDescent="0.3">
      <c r="A272" t="s">
        <v>10143</v>
      </c>
      <c r="B272" t="s">
        <v>35</v>
      </c>
      <c r="C272">
        <v>7648876604</v>
      </c>
      <c r="D272" s="2">
        <v>1</v>
      </c>
      <c r="E272" t="str">
        <f>"4574674200960193"</f>
        <v>4574674200960193</v>
      </c>
      <c r="F272" t="str">
        <f>"046"</f>
        <v>046</v>
      </c>
      <c r="G272">
        <v>1</v>
      </c>
      <c r="H272">
        <v>2023</v>
      </c>
      <c r="I272" t="s">
        <v>387</v>
      </c>
    </row>
    <row r="273" spans="1:9" x14ac:dyDescent="0.3">
      <c r="A273" t="s">
        <v>10143</v>
      </c>
      <c r="B273" t="s">
        <v>35</v>
      </c>
      <c r="C273">
        <v>7648876604</v>
      </c>
      <c r="D273" s="2">
        <v>1</v>
      </c>
      <c r="E273" t="str">
        <f>"4574674200432805"</f>
        <v>4574674200432805</v>
      </c>
      <c r="F273" t="str">
        <f>"298"</f>
        <v>298</v>
      </c>
      <c r="G273">
        <v>1</v>
      </c>
      <c r="H273">
        <v>2023</v>
      </c>
      <c r="I273" t="s">
        <v>388</v>
      </c>
    </row>
    <row r="274" spans="1:9" x14ac:dyDescent="0.3">
      <c r="A274" t="s">
        <v>10143</v>
      </c>
      <c r="B274" t="s">
        <v>35</v>
      </c>
      <c r="C274">
        <v>7648876604</v>
      </c>
      <c r="D274" s="2">
        <v>1</v>
      </c>
      <c r="E274" t="str">
        <f>"4574674200958981"</f>
        <v>4574674200958981</v>
      </c>
      <c r="F274" t="str">
        <f>"777"</f>
        <v>777</v>
      </c>
      <c r="G274">
        <v>1</v>
      </c>
      <c r="H274">
        <v>2023</v>
      </c>
      <c r="I274" t="s">
        <v>389</v>
      </c>
    </row>
    <row r="275" spans="1:9" x14ac:dyDescent="0.3">
      <c r="A275" t="s">
        <v>10143</v>
      </c>
      <c r="B275" t="s">
        <v>35</v>
      </c>
      <c r="C275">
        <v>7648876604</v>
      </c>
      <c r="D275" s="2">
        <v>1</v>
      </c>
      <c r="E275" t="str">
        <f>"4574674200960326"</f>
        <v>4574674200960326</v>
      </c>
      <c r="F275" t="str">
        <f>"378"</f>
        <v>378</v>
      </c>
      <c r="G275">
        <v>1</v>
      </c>
      <c r="H275">
        <v>2023</v>
      </c>
      <c r="I275" t="s">
        <v>390</v>
      </c>
    </row>
    <row r="276" spans="1:9" x14ac:dyDescent="0.3">
      <c r="A276" t="s">
        <v>10143</v>
      </c>
      <c r="B276" t="s">
        <v>35</v>
      </c>
      <c r="C276">
        <v>7648876604</v>
      </c>
      <c r="D276" s="2">
        <v>1</v>
      </c>
      <c r="E276" t="str">
        <f>"4574674200432854"</f>
        <v>4574674200432854</v>
      </c>
      <c r="F276" t="str">
        <f>"137"</f>
        <v>137</v>
      </c>
      <c r="G276">
        <v>1</v>
      </c>
      <c r="H276">
        <v>2023</v>
      </c>
      <c r="I276" t="s">
        <v>391</v>
      </c>
    </row>
    <row r="277" spans="1:9" x14ac:dyDescent="0.3">
      <c r="A277" t="s">
        <v>10143</v>
      </c>
      <c r="B277" t="s">
        <v>35</v>
      </c>
      <c r="C277">
        <v>7648876604</v>
      </c>
      <c r="D277" s="2">
        <v>1</v>
      </c>
      <c r="E277" t="str">
        <f>"4574674200432680"</f>
        <v>4574674200432680</v>
      </c>
      <c r="F277" t="str">
        <f>"370"</f>
        <v>370</v>
      </c>
      <c r="G277">
        <v>1</v>
      </c>
      <c r="H277">
        <v>2023</v>
      </c>
      <c r="I277" t="s">
        <v>392</v>
      </c>
    </row>
    <row r="278" spans="1:9" x14ac:dyDescent="0.3">
      <c r="A278" t="s">
        <v>10143</v>
      </c>
      <c r="B278" t="s">
        <v>35</v>
      </c>
      <c r="C278">
        <v>7648876604</v>
      </c>
      <c r="D278" s="2">
        <v>1</v>
      </c>
      <c r="E278" t="str">
        <f>"4574674200960417"</f>
        <v>4574674200960417</v>
      </c>
      <c r="F278" t="str">
        <f>"140"</f>
        <v>140</v>
      </c>
      <c r="G278">
        <v>1</v>
      </c>
      <c r="H278">
        <v>2023</v>
      </c>
      <c r="I278" t="s">
        <v>393</v>
      </c>
    </row>
    <row r="279" spans="1:9" x14ac:dyDescent="0.3">
      <c r="A279" t="s">
        <v>10143</v>
      </c>
      <c r="B279" t="s">
        <v>35</v>
      </c>
      <c r="C279">
        <v>7648876604</v>
      </c>
      <c r="D279" s="2">
        <v>1</v>
      </c>
      <c r="E279" t="str">
        <f>"4574674200432714"</f>
        <v>4574674200432714</v>
      </c>
      <c r="F279" t="str">
        <f>"909"</f>
        <v>909</v>
      </c>
      <c r="G279">
        <v>1</v>
      </c>
      <c r="H279">
        <v>2023</v>
      </c>
      <c r="I279" t="s">
        <v>394</v>
      </c>
    </row>
    <row r="280" spans="1:9" x14ac:dyDescent="0.3">
      <c r="A280" t="s">
        <v>10143</v>
      </c>
      <c r="B280" t="s">
        <v>35</v>
      </c>
      <c r="C280">
        <v>7648876604</v>
      </c>
      <c r="D280" s="2">
        <v>1</v>
      </c>
      <c r="E280" t="str">
        <f>"4574674200960334"</f>
        <v>4574674200960334</v>
      </c>
      <c r="F280" t="str">
        <f>"547"</f>
        <v>547</v>
      </c>
      <c r="G280">
        <v>1</v>
      </c>
      <c r="H280">
        <v>2023</v>
      </c>
      <c r="I280" t="s">
        <v>395</v>
      </c>
    </row>
    <row r="281" spans="1:9" x14ac:dyDescent="0.3">
      <c r="A281" t="s">
        <v>10143</v>
      </c>
      <c r="B281" t="s">
        <v>35</v>
      </c>
      <c r="C281">
        <v>7648876604</v>
      </c>
      <c r="D281" s="2">
        <v>1</v>
      </c>
      <c r="E281" t="str">
        <f>"4574674200432755"</f>
        <v>4574674200432755</v>
      </c>
      <c r="F281" t="str">
        <f>"128"</f>
        <v>128</v>
      </c>
      <c r="G281">
        <v>1</v>
      </c>
      <c r="H281">
        <v>2023</v>
      </c>
      <c r="I281" t="s">
        <v>396</v>
      </c>
    </row>
    <row r="282" spans="1:9" x14ac:dyDescent="0.3">
      <c r="A282" t="s">
        <v>10144</v>
      </c>
      <c r="B282" t="s">
        <v>36</v>
      </c>
      <c r="C282">
        <v>7648876604</v>
      </c>
      <c r="D282" s="2">
        <v>1</v>
      </c>
      <c r="E282" t="str">
        <f>"4574674200960342"</f>
        <v>4574674200960342</v>
      </c>
      <c r="F282" t="str">
        <f>"701"</f>
        <v>701</v>
      </c>
      <c r="G282">
        <v>1</v>
      </c>
      <c r="H282">
        <v>2023</v>
      </c>
      <c r="I282" t="s">
        <v>397</v>
      </c>
    </row>
    <row r="283" spans="1:9" x14ac:dyDescent="0.3">
      <c r="A283" t="s">
        <v>10144</v>
      </c>
      <c r="B283" t="s">
        <v>36</v>
      </c>
      <c r="C283">
        <v>7648876604</v>
      </c>
      <c r="D283" s="2">
        <v>1</v>
      </c>
      <c r="E283" t="str">
        <f>"4574674200432904"</f>
        <v>4574674200432904</v>
      </c>
      <c r="F283" t="str">
        <f>"584"</f>
        <v>584</v>
      </c>
      <c r="G283">
        <v>1</v>
      </c>
      <c r="H283">
        <v>2023</v>
      </c>
      <c r="I283" t="s">
        <v>398</v>
      </c>
    </row>
    <row r="284" spans="1:9" x14ac:dyDescent="0.3">
      <c r="A284" t="s">
        <v>10144</v>
      </c>
      <c r="B284" t="s">
        <v>36</v>
      </c>
      <c r="C284">
        <v>7648876604</v>
      </c>
      <c r="D284" s="2">
        <v>1</v>
      </c>
      <c r="E284" t="str">
        <f>"4574674200960367"</f>
        <v>4574674200960367</v>
      </c>
      <c r="F284" t="str">
        <f>"663"</f>
        <v>663</v>
      </c>
      <c r="G284">
        <v>1</v>
      </c>
      <c r="H284">
        <v>2023</v>
      </c>
      <c r="I284" t="s">
        <v>399</v>
      </c>
    </row>
    <row r="285" spans="1:9" x14ac:dyDescent="0.3">
      <c r="A285" t="s">
        <v>10144</v>
      </c>
      <c r="B285" t="s">
        <v>36</v>
      </c>
      <c r="C285">
        <v>7648876604</v>
      </c>
      <c r="D285" s="2">
        <v>1</v>
      </c>
      <c r="E285" t="str">
        <f>"4574674200432912"</f>
        <v>4574674200432912</v>
      </c>
      <c r="F285" t="str">
        <f>"774"</f>
        <v>774</v>
      </c>
      <c r="G285">
        <v>1</v>
      </c>
      <c r="H285">
        <v>2023</v>
      </c>
      <c r="I285" t="s">
        <v>400</v>
      </c>
    </row>
    <row r="286" spans="1:9" x14ac:dyDescent="0.3">
      <c r="A286" t="s">
        <v>10144</v>
      </c>
      <c r="B286" t="s">
        <v>36</v>
      </c>
      <c r="C286">
        <v>7648876604</v>
      </c>
      <c r="D286" s="2">
        <v>1</v>
      </c>
      <c r="E286" t="str">
        <f>"4574674200960425"</f>
        <v>4574674200960425</v>
      </c>
      <c r="F286" t="str">
        <f>"797"</f>
        <v>797</v>
      </c>
      <c r="G286">
        <v>1</v>
      </c>
      <c r="H286">
        <v>2023</v>
      </c>
      <c r="I286" t="s">
        <v>401</v>
      </c>
    </row>
    <row r="287" spans="1:9" x14ac:dyDescent="0.3">
      <c r="A287" t="s">
        <v>10144</v>
      </c>
      <c r="B287" t="s">
        <v>36</v>
      </c>
      <c r="C287">
        <v>7648876604</v>
      </c>
      <c r="D287" s="2">
        <v>1</v>
      </c>
      <c r="E287" t="str">
        <f>"4574674200432979"</f>
        <v>4574674200432979</v>
      </c>
      <c r="F287" t="str">
        <f>"161"</f>
        <v>161</v>
      </c>
      <c r="G287">
        <v>1</v>
      </c>
      <c r="H287">
        <v>2023</v>
      </c>
      <c r="I287" t="s">
        <v>402</v>
      </c>
    </row>
    <row r="288" spans="1:9" x14ac:dyDescent="0.3">
      <c r="A288" t="s">
        <v>10144</v>
      </c>
      <c r="B288" t="s">
        <v>36</v>
      </c>
      <c r="C288">
        <v>7648876604</v>
      </c>
      <c r="D288" s="2">
        <v>1</v>
      </c>
      <c r="E288" t="str">
        <f>"4574674200960490"</f>
        <v>4574674200960490</v>
      </c>
      <c r="F288" t="str">
        <f>"740"</f>
        <v>740</v>
      </c>
      <c r="G288">
        <v>1</v>
      </c>
      <c r="H288">
        <v>2023</v>
      </c>
      <c r="I288" t="s">
        <v>403</v>
      </c>
    </row>
    <row r="289" spans="1:9" x14ac:dyDescent="0.3">
      <c r="A289" t="s">
        <v>10144</v>
      </c>
      <c r="B289" t="s">
        <v>36</v>
      </c>
      <c r="C289">
        <v>7648876604</v>
      </c>
      <c r="D289" s="2">
        <v>1</v>
      </c>
      <c r="E289" t="str">
        <f>"4574674200432789"</f>
        <v>4574674200432789</v>
      </c>
      <c r="F289" t="str">
        <f>"100"</f>
        <v>100</v>
      </c>
      <c r="G289">
        <v>1</v>
      </c>
      <c r="H289">
        <v>2023</v>
      </c>
      <c r="I289" t="s">
        <v>404</v>
      </c>
    </row>
    <row r="290" spans="1:9" x14ac:dyDescent="0.3">
      <c r="A290" t="s">
        <v>10144</v>
      </c>
      <c r="B290" t="s">
        <v>36</v>
      </c>
      <c r="C290">
        <v>7648876604</v>
      </c>
      <c r="D290" s="2">
        <v>1</v>
      </c>
      <c r="E290" t="str">
        <f>"4574674200960508"</f>
        <v>4574674200960508</v>
      </c>
      <c r="F290" t="str">
        <f>"691"</f>
        <v>691</v>
      </c>
      <c r="G290">
        <v>1</v>
      </c>
      <c r="H290">
        <v>2023</v>
      </c>
      <c r="I290" t="s">
        <v>405</v>
      </c>
    </row>
    <row r="291" spans="1:9" x14ac:dyDescent="0.3">
      <c r="A291" t="s">
        <v>10144</v>
      </c>
      <c r="B291" t="s">
        <v>36</v>
      </c>
      <c r="C291">
        <v>7648876604</v>
      </c>
      <c r="D291" s="2">
        <v>1</v>
      </c>
      <c r="E291" t="str">
        <f>"4574674200432797"</f>
        <v>4574674200432797</v>
      </c>
      <c r="F291" t="str">
        <f>"237"</f>
        <v>237</v>
      </c>
      <c r="G291">
        <v>1</v>
      </c>
      <c r="H291">
        <v>2023</v>
      </c>
      <c r="I291" t="s">
        <v>406</v>
      </c>
    </row>
    <row r="292" spans="1:9" x14ac:dyDescent="0.3">
      <c r="A292" t="s">
        <v>10145</v>
      </c>
      <c r="B292" t="s">
        <v>37</v>
      </c>
      <c r="C292">
        <v>7648876604</v>
      </c>
      <c r="D292" s="2">
        <v>1</v>
      </c>
      <c r="E292" t="str">
        <f>"4574674200433209"</f>
        <v>4574674200433209</v>
      </c>
      <c r="F292" t="str">
        <f>"236"</f>
        <v>236</v>
      </c>
      <c r="G292">
        <v>1</v>
      </c>
      <c r="H292">
        <v>2023</v>
      </c>
      <c r="I292" t="s">
        <v>407</v>
      </c>
    </row>
    <row r="293" spans="1:9" x14ac:dyDescent="0.3">
      <c r="A293" t="s">
        <v>10145</v>
      </c>
      <c r="B293" t="s">
        <v>37</v>
      </c>
      <c r="C293">
        <v>7648876604</v>
      </c>
      <c r="D293" s="2">
        <v>1</v>
      </c>
      <c r="E293" t="str">
        <f>"4574674200960516"</f>
        <v>4574674200960516</v>
      </c>
      <c r="F293" t="str">
        <f>"494"</f>
        <v>494</v>
      </c>
      <c r="G293">
        <v>1</v>
      </c>
      <c r="H293">
        <v>2023</v>
      </c>
      <c r="I293" t="s">
        <v>408</v>
      </c>
    </row>
    <row r="294" spans="1:9" x14ac:dyDescent="0.3">
      <c r="A294" t="s">
        <v>10145</v>
      </c>
      <c r="B294" t="s">
        <v>37</v>
      </c>
      <c r="C294">
        <v>7648876604</v>
      </c>
      <c r="D294" s="2">
        <v>1</v>
      </c>
      <c r="E294" t="str">
        <f>"4574674200433019"</f>
        <v>4574674200433019</v>
      </c>
      <c r="F294" t="str">
        <f>"127"</f>
        <v>127</v>
      </c>
      <c r="G294">
        <v>1</v>
      </c>
      <c r="H294">
        <v>2023</v>
      </c>
      <c r="I294" t="s">
        <v>409</v>
      </c>
    </row>
    <row r="295" spans="1:9" x14ac:dyDescent="0.3">
      <c r="A295" t="s">
        <v>10145</v>
      </c>
      <c r="B295" t="s">
        <v>37</v>
      </c>
      <c r="C295">
        <v>7648876604</v>
      </c>
      <c r="D295" s="2">
        <v>1</v>
      </c>
      <c r="E295" t="str">
        <f>"4574674200960557"</f>
        <v>4574674200960557</v>
      </c>
      <c r="F295" t="str">
        <f>"915"</f>
        <v>915</v>
      </c>
      <c r="G295">
        <v>1</v>
      </c>
      <c r="H295">
        <v>2023</v>
      </c>
      <c r="I295" t="s">
        <v>410</v>
      </c>
    </row>
    <row r="296" spans="1:9" x14ac:dyDescent="0.3">
      <c r="A296" t="s">
        <v>10145</v>
      </c>
      <c r="B296" t="s">
        <v>37</v>
      </c>
      <c r="C296">
        <v>7648876604</v>
      </c>
      <c r="D296" s="2">
        <v>1</v>
      </c>
      <c r="E296" t="str">
        <f>"4574674200433035"</f>
        <v>4574674200433035</v>
      </c>
      <c r="F296" t="str">
        <f>"168"</f>
        <v>168</v>
      </c>
      <c r="G296">
        <v>1</v>
      </c>
      <c r="H296">
        <v>2023</v>
      </c>
      <c r="I296" t="s">
        <v>411</v>
      </c>
    </row>
    <row r="297" spans="1:9" x14ac:dyDescent="0.3">
      <c r="A297" t="s">
        <v>10145</v>
      </c>
      <c r="B297" t="s">
        <v>37</v>
      </c>
      <c r="C297">
        <v>7648876604</v>
      </c>
      <c r="D297" s="2">
        <v>1</v>
      </c>
      <c r="E297" t="str">
        <f>"4574674200960565"</f>
        <v>4574674200960565</v>
      </c>
      <c r="F297" t="str">
        <f>"158"</f>
        <v>158</v>
      </c>
      <c r="G297">
        <v>1</v>
      </c>
      <c r="H297">
        <v>2023</v>
      </c>
      <c r="I297" t="s">
        <v>412</v>
      </c>
    </row>
    <row r="298" spans="1:9" x14ac:dyDescent="0.3">
      <c r="A298" t="s">
        <v>10145</v>
      </c>
      <c r="B298" t="s">
        <v>37</v>
      </c>
      <c r="C298">
        <v>7648876604</v>
      </c>
      <c r="D298" s="2">
        <v>1</v>
      </c>
      <c r="E298" t="str">
        <f>"4574674200960805"</f>
        <v>4574674200960805</v>
      </c>
      <c r="F298" t="str">
        <f>"341"</f>
        <v>341</v>
      </c>
      <c r="G298">
        <v>1</v>
      </c>
      <c r="H298">
        <v>2023</v>
      </c>
      <c r="I298" t="s">
        <v>413</v>
      </c>
    </row>
    <row r="299" spans="1:9" x14ac:dyDescent="0.3">
      <c r="A299" t="s">
        <v>10145</v>
      </c>
      <c r="B299" t="s">
        <v>37</v>
      </c>
      <c r="C299">
        <v>7648876604</v>
      </c>
      <c r="D299" s="2">
        <v>1</v>
      </c>
      <c r="E299" t="str">
        <f>"4574674200433050"</f>
        <v>4574674200433050</v>
      </c>
      <c r="F299" t="str">
        <f>"169"</f>
        <v>169</v>
      </c>
      <c r="G299">
        <v>1</v>
      </c>
      <c r="H299">
        <v>2023</v>
      </c>
      <c r="I299" t="s">
        <v>414</v>
      </c>
    </row>
    <row r="300" spans="1:9" x14ac:dyDescent="0.3">
      <c r="A300" t="s">
        <v>10145</v>
      </c>
      <c r="B300" t="s">
        <v>37</v>
      </c>
      <c r="C300">
        <v>7648876604</v>
      </c>
      <c r="D300" s="2">
        <v>1</v>
      </c>
      <c r="E300" t="str">
        <f>"4574674200960623"</f>
        <v>4574674200960623</v>
      </c>
      <c r="F300" t="str">
        <f>"811"</f>
        <v>811</v>
      </c>
      <c r="G300">
        <v>1</v>
      </c>
      <c r="H300">
        <v>2023</v>
      </c>
      <c r="I300" t="s">
        <v>415</v>
      </c>
    </row>
    <row r="301" spans="1:9" x14ac:dyDescent="0.3">
      <c r="A301" t="s">
        <v>10145</v>
      </c>
      <c r="B301" t="s">
        <v>37</v>
      </c>
      <c r="C301">
        <v>7648876604</v>
      </c>
      <c r="D301" s="2">
        <v>1</v>
      </c>
      <c r="E301" t="str">
        <f>"4574674200433126"</f>
        <v>4574674200433126</v>
      </c>
      <c r="F301" t="str">
        <f>"224"</f>
        <v>224</v>
      </c>
      <c r="G301">
        <v>1</v>
      </c>
      <c r="H301">
        <v>2023</v>
      </c>
      <c r="I301" t="s">
        <v>416</v>
      </c>
    </row>
    <row r="302" spans="1:9" x14ac:dyDescent="0.3">
      <c r="A302" t="s">
        <v>10146</v>
      </c>
      <c r="B302" t="s">
        <v>38</v>
      </c>
      <c r="C302">
        <v>7648876604</v>
      </c>
      <c r="D302" s="2">
        <v>1</v>
      </c>
      <c r="E302" t="str">
        <f>"4574674200960839"</f>
        <v>4574674200960839</v>
      </c>
      <c r="F302" t="str">
        <f>"812"</f>
        <v>812</v>
      </c>
      <c r="G302">
        <v>1</v>
      </c>
      <c r="H302">
        <v>2023</v>
      </c>
      <c r="I302" t="s">
        <v>417</v>
      </c>
    </row>
    <row r="303" spans="1:9" x14ac:dyDescent="0.3">
      <c r="A303" t="s">
        <v>10146</v>
      </c>
      <c r="B303" t="s">
        <v>38</v>
      </c>
      <c r="C303">
        <v>7648876604</v>
      </c>
      <c r="D303" s="2">
        <v>1</v>
      </c>
      <c r="E303" t="str">
        <f>"4574674200433316"</f>
        <v>4574674200433316</v>
      </c>
      <c r="F303" t="str">
        <f>"021"</f>
        <v>021</v>
      </c>
      <c r="G303">
        <v>1</v>
      </c>
      <c r="H303">
        <v>2023</v>
      </c>
      <c r="I303" t="s">
        <v>418</v>
      </c>
    </row>
    <row r="304" spans="1:9" x14ac:dyDescent="0.3">
      <c r="A304" t="s">
        <v>10146</v>
      </c>
      <c r="B304" t="s">
        <v>38</v>
      </c>
      <c r="C304">
        <v>7648876604</v>
      </c>
      <c r="D304" s="2">
        <v>1</v>
      </c>
      <c r="E304" t="str">
        <f>"4574674200433290"</f>
        <v>4574674200433290</v>
      </c>
      <c r="F304" t="str">
        <f>"311"</f>
        <v>311</v>
      </c>
      <c r="G304">
        <v>1</v>
      </c>
      <c r="H304">
        <v>2023</v>
      </c>
      <c r="I304" t="s">
        <v>419</v>
      </c>
    </row>
    <row r="305" spans="1:9" x14ac:dyDescent="0.3">
      <c r="A305" t="s">
        <v>10146</v>
      </c>
      <c r="B305" t="s">
        <v>38</v>
      </c>
      <c r="C305">
        <v>7648876604</v>
      </c>
      <c r="D305" s="2">
        <v>1</v>
      </c>
      <c r="E305" t="str">
        <f>"4574674200433373"</f>
        <v>4574674200433373</v>
      </c>
      <c r="F305" t="str">
        <f>"987"</f>
        <v>987</v>
      </c>
      <c r="G305">
        <v>1</v>
      </c>
      <c r="H305">
        <v>2023</v>
      </c>
      <c r="I305" t="s">
        <v>420</v>
      </c>
    </row>
    <row r="306" spans="1:9" x14ac:dyDescent="0.3">
      <c r="A306" t="s">
        <v>10146</v>
      </c>
      <c r="B306" t="s">
        <v>38</v>
      </c>
      <c r="C306">
        <v>7648876604</v>
      </c>
      <c r="D306" s="2">
        <v>1</v>
      </c>
      <c r="E306" t="str">
        <f>"4574674200433175"</f>
        <v>4574674200433175</v>
      </c>
      <c r="F306" t="str">
        <f>"533"</f>
        <v>533</v>
      </c>
      <c r="G306">
        <v>1</v>
      </c>
      <c r="H306">
        <v>2023</v>
      </c>
      <c r="I306" t="s">
        <v>421</v>
      </c>
    </row>
    <row r="307" spans="1:9" x14ac:dyDescent="0.3">
      <c r="A307" t="s">
        <v>10146</v>
      </c>
      <c r="B307" t="s">
        <v>38</v>
      </c>
      <c r="C307">
        <v>7648876604</v>
      </c>
      <c r="D307" s="2">
        <v>1</v>
      </c>
      <c r="E307" t="str">
        <f>"4574674200960821"</f>
        <v>4574674200960821</v>
      </c>
      <c r="F307" t="str">
        <f>"246"</f>
        <v>246</v>
      </c>
      <c r="G307">
        <v>1</v>
      </c>
      <c r="H307">
        <v>2023</v>
      </c>
      <c r="I307" t="s">
        <v>422</v>
      </c>
    </row>
    <row r="308" spans="1:9" x14ac:dyDescent="0.3">
      <c r="A308" t="s">
        <v>10146</v>
      </c>
      <c r="B308" t="s">
        <v>38</v>
      </c>
      <c r="C308">
        <v>7648876604</v>
      </c>
      <c r="D308" s="2">
        <v>1</v>
      </c>
      <c r="E308" t="str">
        <f>"4574674200960920"</f>
        <v>4574674200960920</v>
      </c>
      <c r="F308" t="str">
        <f>"647"</f>
        <v>647</v>
      </c>
      <c r="G308">
        <v>1</v>
      </c>
      <c r="H308">
        <v>2023</v>
      </c>
      <c r="I308" t="s">
        <v>423</v>
      </c>
    </row>
    <row r="309" spans="1:9" x14ac:dyDescent="0.3">
      <c r="A309" t="s">
        <v>10146</v>
      </c>
      <c r="B309" t="s">
        <v>38</v>
      </c>
      <c r="C309">
        <v>7648876604</v>
      </c>
      <c r="D309" s="2">
        <v>1</v>
      </c>
      <c r="E309" t="str">
        <f>"4574674200433167"</f>
        <v>4574674200433167</v>
      </c>
      <c r="F309" t="str">
        <f>"768"</f>
        <v>768</v>
      </c>
      <c r="G309">
        <v>1</v>
      </c>
      <c r="H309">
        <v>2023</v>
      </c>
      <c r="I309" t="s">
        <v>424</v>
      </c>
    </row>
    <row r="310" spans="1:9" x14ac:dyDescent="0.3">
      <c r="A310" t="s">
        <v>10146</v>
      </c>
      <c r="B310" t="s">
        <v>38</v>
      </c>
      <c r="C310">
        <v>7648876604</v>
      </c>
      <c r="D310" s="2">
        <v>1</v>
      </c>
      <c r="E310" t="str">
        <f>"4574674200433142"</f>
        <v>4574674200433142</v>
      </c>
      <c r="F310" t="str">
        <f>"817"</f>
        <v>817</v>
      </c>
      <c r="G310">
        <v>1</v>
      </c>
      <c r="H310">
        <v>2023</v>
      </c>
      <c r="I310" t="s">
        <v>425</v>
      </c>
    </row>
    <row r="311" spans="1:9" x14ac:dyDescent="0.3">
      <c r="A311" t="s">
        <v>10146</v>
      </c>
      <c r="B311" t="s">
        <v>38</v>
      </c>
      <c r="C311">
        <v>7648876604</v>
      </c>
      <c r="D311" s="2">
        <v>1</v>
      </c>
      <c r="E311" t="str">
        <f>"4574674200960912"</f>
        <v>4574674200960912</v>
      </c>
      <c r="F311" t="str">
        <f>"490"</f>
        <v>490</v>
      </c>
      <c r="G311">
        <v>1</v>
      </c>
      <c r="H311">
        <v>2023</v>
      </c>
      <c r="I311" t="s">
        <v>426</v>
      </c>
    </row>
    <row r="312" spans="1:9" x14ac:dyDescent="0.3">
      <c r="A312" t="s">
        <v>10147</v>
      </c>
      <c r="B312" t="s">
        <v>39</v>
      </c>
      <c r="C312">
        <v>7648876604</v>
      </c>
      <c r="D312" s="2">
        <v>1</v>
      </c>
      <c r="E312" t="str">
        <f>"4574674200433423"</f>
        <v>4574674200433423</v>
      </c>
      <c r="F312" t="str">
        <f>"560"</f>
        <v>560</v>
      </c>
      <c r="G312">
        <v>1</v>
      </c>
      <c r="H312">
        <v>2023</v>
      </c>
      <c r="I312" t="s">
        <v>427</v>
      </c>
    </row>
    <row r="313" spans="1:9" x14ac:dyDescent="0.3">
      <c r="A313" t="s">
        <v>10147</v>
      </c>
      <c r="B313" t="s">
        <v>39</v>
      </c>
      <c r="C313">
        <v>7648876604</v>
      </c>
      <c r="D313" s="2">
        <v>1</v>
      </c>
      <c r="E313" t="str">
        <f>"4574674200960938"</f>
        <v>4574674200960938</v>
      </c>
      <c r="F313" t="str">
        <f>"810"</f>
        <v>810</v>
      </c>
      <c r="G313">
        <v>1</v>
      </c>
      <c r="H313">
        <v>2023</v>
      </c>
      <c r="I313" t="s">
        <v>428</v>
      </c>
    </row>
    <row r="314" spans="1:9" x14ac:dyDescent="0.3">
      <c r="A314" t="s">
        <v>10147</v>
      </c>
      <c r="B314" t="s">
        <v>39</v>
      </c>
      <c r="C314">
        <v>7648876604</v>
      </c>
      <c r="D314" s="2">
        <v>1</v>
      </c>
      <c r="E314" t="str">
        <f>"4574674200433639"</f>
        <v>4574674200433639</v>
      </c>
      <c r="F314" t="str">
        <f>"326"</f>
        <v>326</v>
      </c>
      <c r="G314">
        <v>1</v>
      </c>
      <c r="H314">
        <v>2023</v>
      </c>
      <c r="I314" t="s">
        <v>429</v>
      </c>
    </row>
    <row r="315" spans="1:9" x14ac:dyDescent="0.3">
      <c r="A315" t="s">
        <v>10147</v>
      </c>
      <c r="B315" t="s">
        <v>39</v>
      </c>
      <c r="C315">
        <v>7648876604</v>
      </c>
      <c r="D315" s="2">
        <v>1</v>
      </c>
      <c r="E315" t="str">
        <f>"4574674200433647"</f>
        <v>4574674200433647</v>
      </c>
      <c r="F315" t="str">
        <f>"539"</f>
        <v>539</v>
      </c>
      <c r="G315">
        <v>1</v>
      </c>
      <c r="H315">
        <v>2023</v>
      </c>
      <c r="I315" t="s">
        <v>430</v>
      </c>
    </row>
    <row r="316" spans="1:9" x14ac:dyDescent="0.3">
      <c r="A316" t="s">
        <v>10147</v>
      </c>
      <c r="B316" t="s">
        <v>39</v>
      </c>
      <c r="C316">
        <v>7648876604</v>
      </c>
      <c r="D316" s="2">
        <v>1</v>
      </c>
      <c r="E316" t="str">
        <f>"4574674200960979"</f>
        <v>4574674200960979</v>
      </c>
      <c r="F316" t="str">
        <f>"596"</f>
        <v>596</v>
      </c>
      <c r="G316">
        <v>1</v>
      </c>
      <c r="H316">
        <v>2023</v>
      </c>
      <c r="I316" t="s">
        <v>431</v>
      </c>
    </row>
    <row r="317" spans="1:9" x14ac:dyDescent="0.3">
      <c r="A317" t="s">
        <v>10147</v>
      </c>
      <c r="B317" t="s">
        <v>39</v>
      </c>
      <c r="C317">
        <v>7648876604</v>
      </c>
      <c r="D317" s="2">
        <v>1</v>
      </c>
      <c r="E317" t="str">
        <f>"4574674200961001"</f>
        <v>4574674200961001</v>
      </c>
      <c r="F317" t="str">
        <f>"945"</f>
        <v>945</v>
      </c>
      <c r="G317">
        <v>1</v>
      </c>
      <c r="H317">
        <v>2023</v>
      </c>
      <c r="I317" t="s">
        <v>432</v>
      </c>
    </row>
    <row r="318" spans="1:9" x14ac:dyDescent="0.3">
      <c r="A318" t="s">
        <v>10147</v>
      </c>
      <c r="B318" t="s">
        <v>39</v>
      </c>
      <c r="C318">
        <v>7648876604</v>
      </c>
      <c r="D318" s="2">
        <v>1</v>
      </c>
      <c r="E318" t="str">
        <f>"4574674200433662"</f>
        <v>4574674200433662</v>
      </c>
      <c r="F318" t="str">
        <f>"739"</f>
        <v>739</v>
      </c>
      <c r="G318">
        <v>1</v>
      </c>
      <c r="H318">
        <v>2023</v>
      </c>
      <c r="I318" t="s">
        <v>433</v>
      </c>
    </row>
    <row r="319" spans="1:9" x14ac:dyDescent="0.3">
      <c r="A319" t="s">
        <v>10147</v>
      </c>
      <c r="B319" t="s">
        <v>39</v>
      </c>
      <c r="C319">
        <v>7648876604</v>
      </c>
      <c r="D319" s="2">
        <v>1</v>
      </c>
      <c r="E319" t="str">
        <f>"4574674200961019"</f>
        <v>4574674200961019</v>
      </c>
      <c r="F319" t="str">
        <f>"489"</f>
        <v>489</v>
      </c>
      <c r="G319">
        <v>1</v>
      </c>
      <c r="H319">
        <v>2023</v>
      </c>
      <c r="I319" t="s">
        <v>434</v>
      </c>
    </row>
    <row r="320" spans="1:9" x14ac:dyDescent="0.3">
      <c r="A320" t="s">
        <v>10147</v>
      </c>
      <c r="B320" t="s">
        <v>39</v>
      </c>
      <c r="C320">
        <v>7648876604</v>
      </c>
      <c r="D320" s="2">
        <v>1</v>
      </c>
      <c r="E320" t="str">
        <f>"4574674200433530"</f>
        <v>4574674200433530</v>
      </c>
      <c r="F320" t="str">
        <f>"193"</f>
        <v>193</v>
      </c>
      <c r="G320">
        <v>1</v>
      </c>
      <c r="H320">
        <v>2023</v>
      </c>
      <c r="I320" t="s">
        <v>435</v>
      </c>
    </row>
    <row r="321" spans="1:9" x14ac:dyDescent="0.3">
      <c r="A321" t="s">
        <v>10147</v>
      </c>
      <c r="B321" t="s">
        <v>39</v>
      </c>
      <c r="C321">
        <v>7648876604</v>
      </c>
      <c r="D321" s="2">
        <v>1</v>
      </c>
      <c r="E321" t="str">
        <f>"4574674200433670"</f>
        <v>4574674200433670</v>
      </c>
      <c r="F321" t="str">
        <f>"022"</f>
        <v>022</v>
      </c>
      <c r="G321">
        <v>1</v>
      </c>
      <c r="H321">
        <v>2023</v>
      </c>
      <c r="I321" t="s">
        <v>436</v>
      </c>
    </row>
    <row r="322" spans="1:9" x14ac:dyDescent="0.3">
      <c r="A322" t="s">
        <v>10148</v>
      </c>
      <c r="B322" t="s">
        <v>40</v>
      </c>
      <c r="C322">
        <v>7648876604</v>
      </c>
      <c r="D322" s="2">
        <v>1</v>
      </c>
      <c r="E322" t="str">
        <f>"4574674200960664"</f>
        <v>4574674200960664</v>
      </c>
      <c r="F322" t="str">
        <f>"334"</f>
        <v>334</v>
      </c>
      <c r="G322">
        <v>1</v>
      </c>
      <c r="H322">
        <v>2023</v>
      </c>
      <c r="I322" t="s">
        <v>437</v>
      </c>
    </row>
    <row r="323" spans="1:9" x14ac:dyDescent="0.3">
      <c r="A323" t="s">
        <v>10148</v>
      </c>
      <c r="B323" t="s">
        <v>40</v>
      </c>
      <c r="C323">
        <v>7648876604</v>
      </c>
      <c r="D323" s="2">
        <v>1</v>
      </c>
      <c r="E323" t="str">
        <f>"4574674200433688"</f>
        <v>4574674200433688</v>
      </c>
      <c r="F323" t="str">
        <f>"834"</f>
        <v>834</v>
      </c>
      <c r="G323">
        <v>1</v>
      </c>
      <c r="H323">
        <v>2023</v>
      </c>
      <c r="I323" t="s">
        <v>438</v>
      </c>
    </row>
    <row r="324" spans="1:9" x14ac:dyDescent="0.3">
      <c r="A324" t="s">
        <v>10148</v>
      </c>
      <c r="B324" t="s">
        <v>40</v>
      </c>
      <c r="C324">
        <v>7648876604</v>
      </c>
      <c r="D324" s="2">
        <v>1</v>
      </c>
      <c r="E324" t="str">
        <f>"4574674200961084"</f>
        <v>4574674200961084</v>
      </c>
      <c r="F324" t="str">
        <f>"813"</f>
        <v>813</v>
      </c>
      <c r="G324">
        <v>1</v>
      </c>
      <c r="H324">
        <v>2023</v>
      </c>
      <c r="I324" t="s">
        <v>439</v>
      </c>
    </row>
    <row r="325" spans="1:9" x14ac:dyDescent="0.3">
      <c r="A325" t="s">
        <v>10148</v>
      </c>
      <c r="B325" t="s">
        <v>40</v>
      </c>
      <c r="C325">
        <v>7648876604</v>
      </c>
      <c r="D325" s="2">
        <v>1</v>
      </c>
      <c r="E325" t="str">
        <f>"4574674200433704"</f>
        <v>4574674200433704</v>
      </c>
      <c r="F325" t="str">
        <f>"887"</f>
        <v>887</v>
      </c>
      <c r="G325">
        <v>1</v>
      </c>
      <c r="H325">
        <v>2023</v>
      </c>
      <c r="I325" t="s">
        <v>440</v>
      </c>
    </row>
    <row r="326" spans="1:9" x14ac:dyDescent="0.3">
      <c r="A326" t="s">
        <v>10148</v>
      </c>
      <c r="B326" t="s">
        <v>40</v>
      </c>
      <c r="C326">
        <v>7648876604</v>
      </c>
      <c r="D326" s="2">
        <v>1</v>
      </c>
      <c r="E326" t="str">
        <f>"4574674200961126"</f>
        <v>4574674200961126</v>
      </c>
      <c r="F326" t="str">
        <f>"267"</f>
        <v>267</v>
      </c>
      <c r="G326">
        <v>1</v>
      </c>
      <c r="H326">
        <v>2023</v>
      </c>
      <c r="I326" t="s">
        <v>441</v>
      </c>
    </row>
    <row r="327" spans="1:9" x14ac:dyDescent="0.3">
      <c r="A327" t="s">
        <v>10148</v>
      </c>
      <c r="B327" t="s">
        <v>40</v>
      </c>
      <c r="C327">
        <v>7648876604</v>
      </c>
      <c r="D327" s="2">
        <v>1</v>
      </c>
      <c r="E327" t="str">
        <f>"4574674200961134"</f>
        <v>4574674200961134</v>
      </c>
      <c r="F327" t="str">
        <f>"776"</f>
        <v>776</v>
      </c>
      <c r="G327">
        <v>1</v>
      </c>
      <c r="H327">
        <v>2023</v>
      </c>
      <c r="I327" t="s">
        <v>442</v>
      </c>
    </row>
    <row r="328" spans="1:9" x14ac:dyDescent="0.3">
      <c r="A328" t="s">
        <v>10148</v>
      </c>
      <c r="B328" t="s">
        <v>40</v>
      </c>
      <c r="C328">
        <v>7648876604</v>
      </c>
      <c r="D328" s="2">
        <v>1</v>
      </c>
      <c r="E328" t="str">
        <f>"4574674200433712"</f>
        <v>4574674200433712</v>
      </c>
      <c r="F328" t="str">
        <f>"272"</f>
        <v>272</v>
      </c>
      <c r="G328">
        <v>1</v>
      </c>
      <c r="H328">
        <v>2023</v>
      </c>
      <c r="I328" t="s">
        <v>443</v>
      </c>
    </row>
    <row r="329" spans="1:9" x14ac:dyDescent="0.3">
      <c r="A329" t="s">
        <v>10148</v>
      </c>
      <c r="B329" t="s">
        <v>40</v>
      </c>
      <c r="C329">
        <v>7648876604</v>
      </c>
      <c r="D329" s="2">
        <v>1</v>
      </c>
      <c r="E329" t="str">
        <f>"4574674200961142"</f>
        <v>4574674200961142</v>
      </c>
      <c r="F329" t="str">
        <f>"450"</f>
        <v>450</v>
      </c>
      <c r="G329">
        <v>1</v>
      </c>
      <c r="H329">
        <v>2023</v>
      </c>
      <c r="I329" t="s">
        <v>444</v>
      </c>
    </row>
    <row r="330" spans="1:9" x14ac:dyDescent="0.3">
      <c r="A330" t="s">
        <v>10148</v>
      </c>
      <c r="B330" t="s">
        <v>40</v>
      </c>
      <c r="C330">
        <v>7648876604</v>
      </c>
      <c r="D330" s="2">
        <v>1</v>
      </c>
      <c r="E330" t="str">
        <f>"4574674200433886"</f>
        <v>4574674200433886</v>
      </c>
      <c r="F330" t="str">
        <f>"481"</f>
        <v>481</v>
      </c>
      <c r="G330">
        <v>1</v>
      </c>
      <c r="H330">
        <v>2023</v>
      </c>
      <c r="I330" t="s">
        <v>445</v>
      </c>
    </row>
    <row r="331" spans="1:9" x14ac:dyDescent="0.3">
      <c r="A331" t="s">
        <v>10148</v>
      </c>
      <c r="B331" t="s">
        <v>40</v>
      </c>
      <c r="C331">
        <v>7648876604</v>
      </c>
      <c r="D331" s="2">
        <v>1</v>
      </c>
      <c r="E331" t="str">
        <f>"4574674200961175"</f>
        <v>4574674200961175</v>
      </c>
      <c r="F331" t="str">
        <f>"448"</f>
        <v>448</v>
      </c>
      <c r="G331">
        <v>1</v>
      </c>
      <c r="H331">
        <v>2023</v>
      </c>
      <c r="I331" t="s">
        <v>446</v>
      </c>
    </row>
    <row r="332" spans="1:9" x14ac:dyDescent="0.3">
      <c r="A332" t="s">
        <v>10149</v>
      </c>
      <c r="B332" t="s">
        <v>41</v>
      </c>
      <c r="C332">
        <v>7648876604</v>
      </c>
      <c r="D332" s="2">
        <v>1</v>
      </c>
      <c r="E332" t="str">
        <f>"4574674200961183"</f>
        <v>4574674200961183</v>
      </c>
      <c r="F332" t="str">
        <f>"905"</f>
        <v>905</v>
      </c>
      <c r="G332">
        <v>1</v>
      </c>
      <c r="H332">
        <v>2023</v>
      </c>
      <c r="I332" t="s">
        <v>447</v>
      </c>
    </row>
    <row r="333" spans="1:9" x14ac:dyDescent="0.3">
      <c r="A333" t="s">
        <v>10149</v>
      </c>
      <c r="B333" t="s">
        <v>41</v>
      </c>
      <c r="C333">
        <v>7648876604</v>
      </c>
      <c r="D333" s="2">
        <v>1</v>
      </c>
      <c r="E333" t="str">
        <f>"4574674200961258"</f>
        <v>4574674200961258</v>
      </c>
      <c r="F333" t="str">
        <f>"735"</f>
        <v>735</v>
      </c>
      <c r="G333">
        <v>1</v>
      </c>
      <c r="H333">
        <v>2023</v>
      </c>
      <c r="I333" t="s">
        <v>448</v>
      </c>
    </row>
    <row r="334" spans="1:9" x14ac:dyDescent="0.3">
      <c r="A334" t="s">
        <v>10149</v>
      </c>
      <c r="B334" t="s">
        <v>41</v>
      </c>
      <c r="C334">
        <v>7648876604</v>
      </c>
      <c r="D334" s="2">
        <v>1</v>
      </c>
      <c r="E334" t="str">
        <f>"4574674200433878"</f>
        <v>4574674200433878</v>
      </c>
      <c r="F334" t="str">
        <f>"272"</f>
        <v>272</v>
      </c>
      <c r="G334">
        <v>1</v>
      </c>
      <c r="H334">
        <v>2023</v>
      </c>
      <c r="I334" t="s">
        <v>449</v>
      </c>
    </row>
    <row r="335" spans="1:9" x14ac:dyDescent="0.3">
      <c r="A335" t="s">
        <v>10149</v>
      </c>
      <c r="B335" t="s">
        <v>41</v>
      </c>
      <c r="C335">
        <v>7648876604</v>
      </c>
      <c r="D335" s="2">
        <v>1</v>
      </c>
      <c r="E335" t="str">
        <f>"4574674200961282"</f>
        <v>4574674200961282</v>
      </c>
      <c r="F335" t="str">
        <f>"487"</f>
        <v>487</v>
      </c>
      <c r="G335">
        <v>1</v>
      </c>
      <c r="H335">
        <v>2023</v>
      </c>
      <c r="I335" t="s">
        <v>450</v>
      </c>
    </row>
    <row r="336" spans="1:9" x14ac:dyDescent="0.3">
      <c r="A336" t="s">
        <v>10149</v>
      </c>
      <c r="B336" t="s">
        <v>41</v>
      </c>
      <c r="C336">
        <v>7648876604</v>
      </c>
      <c r="D336" s="2">
        <v>1</v>
      </c>
      <c r="E336" t="str">
        <f>"4574674200433787"</f>
        <v>4574674200433787</v>
      </c>
      <c r="F336" t="str">
        <f>"550"</f>
        <v>550</v>
      </c>
      <c r="G336">
        <v>1</v>
      </c>
      <c r="H336">
        <v>2023</v>
      </c>
      <c r="I336" t="s">
        <v>451</v>
      </c>
    </row>
    <row r="337" spans="1:9" x14ac:dyDescent="0.3">
      <c r="A337" t="s">
        <v>10149</v>
      </c>
      <c r="B337" t="s">
        <v>41</v>
      </c>
      <c r="C337">
        <v>7648876604</v>
      </c>
      <c r="D337" s="2">
        <v>1</v>
      </c>
      <c r="E337" t="str">
        <f>"4574674200961316"</f>
        <v>4574674200961316</v>
      </c>
      <c r="F337" t="str">
        <f>"230"</f>
        <v>230</v>
      </c>
      <c r="G337">
        <v>1</v>
      </c>
      <c r="H337">
        <v>2023</v>
      </c>
      <c r="I337" t="s">
        <v>452</v>
      </c>
    </row>
    <row r="338" spans="1:9" x14ac:dyDescent="0.3">
      <c r="A338" t="s">
        <v>10149</v>
      </c>
      <c r="B338" t="s">
        <v>41</v>
      </c>
      <c r="C338">
        <v>7648876604</v>
      </c>
      <c r="D338" s="2">
        <v>1</v>
      </c>
      <c r="E338" t="str">
        <f>"4574674200433910"</f>
        <v>4574674200433910</v>
      </c>
      <c r="F338" t="str">
        <f>"523"</f>
        <v>523</v>
      </c>
      <c r="G338">
        <v>1</v>
      </c>
      <c r="H338">
        <v>2023</v>
      </c>
      <c r="I338" t="s">
        <v>453</v>
      </c>
    </row>
    <row r="339" spans="1:9" x14ac:dyDescent="0.3">
      <c r="A339" t="s">
        <v>10149</v>
      </c>
      <c r="B339" t="s">
        <v>41</v>
      </c>
      <c r="C339">
        <v>7648876604</v>
      </c>
      <c r="D339" s="2">
        <v>1</v>
      </c>
      <c r="E339" t="str">
        <f>"4574674200961340"</f>
        <v>4574674200961340</v>
      </c>
      <c r="F339" t="str">
        <f>"302"</f>
        <v>302</v>
      </c>
      <c r="G339">
        <v>1</v>
      </c>
      <c r="H339">
        <v>2023</v>
      </c>
      <c r="I339" t="s">
        <v>454</v>
      </c>
    </row>
    <row r="340" spans="1:9" x14ac:dyDescent="0.3">
      <c r="A340" t="s">
        <v>10149</v>
      </c>
      <c r="B340" t="s">
        <v>41</v>
      </c>
      <c r="C340">
        <v>7648876604</v>
      </c>
      <c r="D340" s="2">
        <v>1</v>
      </c>
      <c r="E340" t="str">
        <f>"4574674200433936"</f>
        <v>4574674200433936</v>
      </c>
      <c r="F340" t="str">
        <f>"751"</f>
        <v>751</v>
      </c>
      <c r="G340">
        <v>1</v>
      </c>
      <c r="H340">
        <v>2023</v>
      </c>
      <c r="I340" t="s">
        <v>455</v>
      </c>
    </row>
    <row r="341" spans="1:9" x14ac:dyDescent="0.3">
      <c r="A341" t="s">
        <v>10149</v>
      </c>
      <c r="B341" t="s">
        <v>41</v>
      </c>
      <c r="C341">
        <v>7648876604</v>
      </c>
      <c r="D341" s="2">
        <v>1</v>
      </c>
      <c r="E341" t="str">
        <f>"4574674200961332"</f>
        <v>4574674200961332</v>
      </c>
      <c r="F341" t="str">
        <f>"299"</f>
        <v>299</v>
      </c>
      <c r="G341">
        <v>1</v>
      </c>
      <c r="H341">
        <v>2023</v>
      </c>
      <c r="I341" t="s">
        <v>456</v>
      </c>
    </row>
    <row r="342" spans="1:9" x14ac:dyDescent="0.3">
      <c r="A342" t="s">
        <v>10150</v>
      </c>
      <c r="B342" t="s">
        <v>42</v>
      </c>
      <c r="C342">
        <v>7648876604</v>
      </c>
      <c r="D342" s="2">
        <v>1</v>
      </c>
      <c r="E342" t="str">
        <f>"4574674200961365"</f>
        <v>4574674200961365</v>
      </c>
      <c r="F342" t="str">
        <f>"458"</f>
        <v>458</v>
      </c>
      <c r="G342">
        <v>1</v>
      </c>
      <c r="H342">
        <v>2023</v>
      </c>
      <c r="I342" t="s">
        <v>457</v>
      </c>
    </row>
    <row r="343" spans="1:9" x14ac:dyDescent="0.3">
      <c r="A343" t="s">
        <v>10150</v>
      </c>
      <c r="B343" t="s">
        <v>42</v>
      </c>
      <c r="C343">
        <v>7648876604</v>
      </c>
      <c r="D343" s="2">
        <v>1</v>
      </c>
      <c r="E343" t="str">
        <f>"4574674200434033"</f>
        <v>4574674200434033</v>
      </c>
      <c r="F343" t="str">
        <f>"711"</f>
        <v>711</v>
      </c>
      <c r="G343">
        <v>1</v>
      </c>
      <c r="H343">
        <v>2023</v>
      </c>
      <c r="I343" t="s">
        <v>458</v>
      </c>
    </row>
    <row r="344" spans="1:9" x14ac:dyDescent="0.3">
      <c r="A344" t="s">
        <v>10150</v>
      </c>
      <c r="B344" t="s">
        <v>42</v>
      </c>
      <c r="C344">
        <v>7648876604</v>
      </c>
      <c r="D344" s="2">
        <v>1</v>
      </c>
      <c r="E344" t="str">
        <f>"4574674200434041"</f>
        <v>4574674200434041</v>
      </c>
      <c r="F344" t="str">
        <f>"588"</f>
        <v>588</v>
      </c>
      <c r="G344">
        <v>1</v>
      </c>
      <c r="H344">
        <v>2023</v>
      </c>
      <c r="I344" t="s">
        <v>459</v>
      </c>
    </row>
    <row r="345" spans="1:9" x14ac:dyDescent="0.3">
      <c r="A345" t="s">
        <v>10150</v>
      </c>
      <c r="B345" t="s">
        <v>42</v>
      </c>
      <c r="C345">
        <v>7648876604</v>
      </c>
      <c r="D345" s="2">
        <v>1</v>
      </c>
      <c r="E345" t="str">
        <f>"4574674200961373"</f>
        <v>4574674200961373</v>
      </c>
      <c r="F345" t="str">
        <f>"590"</f>
        <v>590</v>
      </c>
      <c r="G345">
        <v>1</v>
      </c>
      <c r="H345">
        <v>2023</v>
      </c>
      <c r="I345" t="s">
        <v>460</v>
      </c>
    </row>
    <row r="346" spans="1:9" x14ac:dyDescent="0.3">
      <c r="A346" t="s">
        <v>10150</v>
      </c>
      <c r="B346" t="s">
        <v>42</v>
      </c>
      <c r="C346">
        <v>7648876604</v>
      </c>
      <c r="D346" s="2">
        <v>1</v>
      </c>
      <c r="E346" t="str">
        <f>"4574674200434058"</f>
        <v>4574674200434058</v>
      </c>
      <c r="F346" t="str">
        <f>"479"</f>
        <v>479</v>
      </c>
      <c r="G346">
        <v>1</v>
      </c>
      <c r="H346">
        <v>2023</v>
      </c>
      <c r="I346" t="s">
        <v>461</v>
      </c>
    </row>
    <row r="347" spans="1:9" x14ac:dyDescent="0.3">
      <c r="A347" t="s">
        <v>10150</v>
      </c>
      <c r="B347" t="s">
        <v>42</v>
      </c>
      <c r="C347">
        <v>7648876604</v>
      </c>
      <c r="D347" s="2">
        <v>1</v>
      </c>
      <c r="E347" t="str">
        <f>"4574674200960706"</f>
        <v>4574674200960706</v>
      </c>
      <c r="F347" t="str">
        <f>"902"</f>
        <v>902</v>
      </c>
      <c r="G347">
        <v>1</v>
      </c>
      <c r="H347">
        <v>2023</v>
      </c>
      <c r="I347" t="s">
        <v>462</v>
      </c>
    </row>
    <row r="348" spans="1:9" x14ac:dyDescent="0.3">
      <c r="A348" t="s">
        <v>10150</v>
      </c>
      <c r="B348" t="s">
        <v>42</v>
      </c>
      <c r="C348">
        <v>7648876604</v>
      </c>
      <c r="D348" s="2">
        <v>1</v>
      </c>
      <c r="E348" t="str">
        <f>"4574674200434132"</f>
        <v>4574674200434132</v>
      </c>
      <c r="F348" t="str">
        <f>"456"</f>
        <v>456</v>
      </c>
      <c r="G348">
        <v>1</v>
      </c>
      <c r="H348">
        <v>2023</v>
      </c>
      <c r="I348" t="s">
        <v>463</v>
      </c>
    </row>
    <row r="349" spans="1:9" x14ac:dyDescent="0.3">
      <c r="A349" t="s">
        <v>10150</v>
      </c>
      <c r="B349" t="s">
        <v>42</v>
      </c>
      <c r="C349">
        <v>7648876604</v>
      </c>
      <c r="D349" s="2">
        <v>1</v>
      </c>
      <c r="E349" t="str">
        <f>"4574674200961472"</f>
        <v>4574674200961472</v>
      </c>
      <c r="F349" t="str">
        <f>"457"</f>
        <v>457</v>
      </c>
      <c r="G349">
        <v>1</v>
      </c>
      <c r="H349">
        <v>2023</v>
      </c>
      <c r="I349" t="s">
        <v>464</v>
      </c>
    </row>
    <row r="350" spans="1:9" x14ac:dyDescent="0.3">
      <c r="A350" t="s">
        <v>10150</v>
      </c>
      <c r="B350" t="s">
        <v>42</v>
      </c>
      <c r="C350">
        <v>7648876604</v>
      </c>
      <c r="D350" s="2">
        <v>1</v>
      </c>
      <c r="E350" t="str">
        <f>"4574674200434231"</f>
        <v>4574674200434231</v>
      </c>
      <c r="F350" t="str">
        <f>"642"</f>
        <v>642</v>
      </c>
      <c r="G350">
        <v>1</v>
      </c>
      <c r="H350">
        <v>2023</v>
      </c>
      <c r="I350" t="s">
        <v>465</v>
      </c>
    </row>
    <row r="351" spans="1:9" x14ac:dyDescent="0.3">
      <c r="A351" t="s">
        <v>10150</v>
      </c>
      <c r="B351" t="s">
        <v>42</v>
      </c>
      <c r="C351">
        <v>7648876604</v>
      </c>
      <c r="D351" s="2">
        <v>1</v>
      </c>
      <c r="E351" t="str">
        <f>"4574674200961498"</f>
        <v>4574674200961498</v>
      </c>
      <c r="F351" t="str">
        <f>"893"</f>
        <v>893</v>
      </c>
      <c r="G351">
        <v>1</v>
      </c>
      <c r="H351">
        <v>2023</v>
      </c>
      <c r="I351" t="s">
        <v>466</v>
      </c>
    </row>
    <row r="352" spans="1:9" x14ac:dyDescent="0.3">
      <c r="A352" t="s">
        <v>10147</v>
      </c>
      <c r="B352" t="s">
        <v>39</v>
      </c>
      <c r="C352">
        <v>7648876604</v>
      </c>
      <c r="D352" s="2">
        <v>1</v>
      </c>
      <c r="E352" t="str">
        <f>"4574674200434140"</f>
        <v>4574674200434140</v>
      </c>
      <c r="F352" t="str">
        <f>"210"</f>
        <v>210</v>
      </c>
      <c r="G352">
        <v>1</v>
      </c>
      <c r="H352">
        <v>2023</v>
      </c>
      <c r="I352" t="s">
        <v>467</v>
      </c>
    </row>
    <row r="353" spans="1:9" x14ac:dyDescent="0.3">
      <c r="A353" t="s">
        <v>10147</v>
      </c>
      <c r="B353" t="s">
        <v>39</v>
      </c>
      <c r="C353">
        <v>7648876604</v>
      </c>
      <c r="D353" s="2">
        <v>1</v>
      </c>
      <c r="E353" t="str">
        <f>"4574674200961530"</f>
        <v>4574674200961530</v>
      </c>
      <c r="F353" t="str">
        <f>"897"</f>
        <v>897</v>
      </c>
      <c r="G353">
        <v>1</v>
      </c>
      <c r="H353">
        <v>2023</v>
      </c>
      <c r="I353" t="s">
        <v>468</v>
      </c>
    </row>
    <row r="354" spans="1:9" x14ac:dyDescent="0.3">
      <c r="A354" t="s">
        <v>10147</v>
      </c>
      <c r="B354" t="s">
        <v>39</v>
      </c>
      <c r="C354">
        <v>7648876604</v>
      </c>
      <c r="D354" s="2">
        <v>1</v>
      </c>
      <c r="E354" t="str">
        <f>"4574674200434298"</f>
        <v>4574674200434298</v>
      </c>
      <c r="F354" t="str">
        <f>"012"</f>
        <v>012</v>
      </c>
      <c r="G354">
        <v>1</v>
      </c>
      <c r="H354">
        <v>2023</v>
      </c>
      <c r="I354" t="s">
        <v>469</v>
      </c>
    </row>
    <row r="355" spans="1:9" x14ac:dyDescent="0.3">
      <c r="A355" t="s">
        <v>10147</v>
      </c>
      <c r="B355" t="s">
        <v>39</v>
      </c>
      <c r="C355">
        <v>7648876604</v>
      </c>
      <c r="D355" s="2">
        <v>1</v>
      </c>
      <c r="E355" t="str">
        <f>"4574674200961514"</f>
        <v>4574674200961514</v>
      </c>
      <c r="F355" t="str">
        <f>"886"</f>
        <v>886</v>
      </c>
      <c r="G355">
        <v>1</v>
      </c>
      <c r="H355">
        <v>2023</v>
      </c>
      <c r="I355" t="s">
        <v>470</v>
      </c>
    </row>
    <row r="356" spans="1:9" x14ac:dyDescent="0.3">
      <c r="A356" t="s">
        <v>10147</v>
      </c>
      <c r="B356" t="s">
        <v>39</v>
      </c>
      <c r="C356">
        <v>7648876604</v>
      </c>
      <c r="D356" s="2">
        <v>1</v>
      </c>
      <c r="E356" t="str">
        <f>"4574674200434306"</f>
        <v>4574674200434306</v>
      </c>
      <c r="F356" t="str">
        <f>"649"</f>
        <v>649</v>
      </c>
      <c r="G356">
        <v>1</v>
      </c>
      <c r="H356">
        <v>2023</v>
      </c>
      <c r="I356" t="s">
        <v>471</v>
      </c>
    </row>
    <row r="357" spans="1:9" x14ac:dyDescent="0.3">
      <c r="A357" t="s">
        <v>10147</v>
      </c>
      <c r="B357" t="s">
        <v>39</v>
      </c>
      <c r="C357">
        <v>7648876604</v>
      </c>
      <c r="D357" s="2">
        <v>1</v>
      </c>
      <c r="E357" t="str">
        <f>"4574674200961522"</f>
        <v>4574674200961522</v>
      </c>
      <c r="F357" t="str">
        <f>"325"</f>
        <v>325</v>
      </c>
      <c r="G357">
        <v>1</v>
      </c>
      <c r="H357">
        <v>2023</v>
      </c>
      <c r="I357" t="s">
        <v>472</v>
      </c>
    </row>
    <row r="358" spans="1:9" x14ac:dyDescent="0.3">
      <c r="A358" t="s">
        <v>10147</v>
      </c>
      <c r="B358" t="s">
        <v>39</v>
      </c>
      <c r="C358">
        <v>7648876604</v>
      </c>
      <c r="D358" s="2">
        <v>1</v>
      </c>
      <c r="E358" t="str">
        <f>"4574674200434181"</f>
        <v>4574674200434181</v>
      </c>
      <c r="F358" t="str">
        <f>"558"</f>
        <v>558</v>
      </c>
      <c r="G358">
        <v>1</v>
      </c>
      <c r="H358">
        <v>2023</v>
      </c>
      <c r="I358" t="s">
        <v>473</v>
      </c>
    </row>
    <row r="359" spans="1:9" x14ac:dyDescent="0.3">
      <c r="A359" t="s">
        <v>10147</v>
      </c>
      <c r="B359" t="s">
        <v>39</v>
      </c>
      <c r="C359">
        <v>7648876604</v>
      </c>
      <c r="D359" s="2">
        <v>1</v>
      </c>
      <c r="E359" t="str">
        <f>"4574674200961548"</f>
        <v>4574674200961548</v>
      </c>
      <c r="F359" t="str">
        <f>"870"</f>
        <v>870</v>
      </c>
      <c r="G359">
        <v>1</v>
      </c>
      <c r="H359">
        <v>2023</v>
      </c>
      <c r="I359" t="s">
        <v>474</v>
      </c>
    </row>
    <row r="360" spans="1:9" x14ac:dyDescent="0.3">
      <c r="A360" t="s">
        <v>10147</v>
      </c>
      <c r="B360" t="s">
        <v>39</v>
      </c>
      <c r="C360">
        <v>7648876604</v>
      </c>
      <c r="D360" s="2">
        <v>1</v>
      </c>
      <c r="E360" t="str">
        <f>"4574674200434199"</f>
        <v>4574674200434199</v>
      </c>
      <c r="F360" t="str">
        <f>"481"</f>
        <v>481</v>
      </c>
      <c r="G360">
        <v>1</v>
      </c>
      <c r="H360">
        <v>2023</v>
      </c>
      <c r="I360" t="s">
        <v>475</v>
      </c>
    </row>
    <row r="361" spans="1:9" x14ac:dyDescent="0.3">
      <c r="A361" t="s">
        <v>10147</v>
      </c>
      <c r="B361" t="s">
        <v>39</v>
      </c>
      <c r="C361">
        <v>7648876604</v>
      </c>
      <c r="D361" s="2">
        <v>1</v>
      </c>
      <c r="E361" t="str">
        <f>"4574674200961647"</f>
        <v>4574674200961647</v>
      </c>
      <c r="F361" t="str">
        <f>"718"</f>
        <v>718</v>
      </c>
      <c r="G361">
        <v>1</v>
      </c>
      <c r="H361">
        <v>2023</v>
      </c>
      <c r="I361" t="s">
        <v>476</v>
      </c>
    </row>
    <row r="362" spans="1:9" x14ac:dyDescent="0.3">
      <c r="A362" t="s">
        <v>10148</v>
      </c>
      <c r="B362" t="s">
        <v>40</v>
      </c>
      <c r="C362">
        <v>7648876604</v>
      </c>
      <c r="D362" s="2">
        <v>1</v>
      </c>
      <c r="E362" t="str">
        <f>"4574674200434462"</f>
        <v>4574674200434462</v>
      </c>
      <c r="F362" t="str">
        <f>"692"</f>
        <v>692</v>
      </c>
      <c r="G362">
        <v>1</v>
      </c>
      <c r="H362">
        <v>2023</v>
      </c>
      <c r="I362" t="s">
        <v>477</v>
      </c>
    </row>
    <row r="363" spans="1:9" x14ac:dyDescent="0.3">
      <c r="A363" t="s">
        <v>10148</v>
      </c>
      <c r="B363" t="s">
        <v>40</v>
      </c>
      <c r="C363">
        <v>7648876604</v>
      </c>
      <c r="D363" s="2">
        <v>1</v>
      </c>
      <c r="E363" t="str">
        <f>"4574674200961654"</f>
        <v>4574674200961654</v>
      </c>
      <c r="F363" t="str">
        <f>"129"</f>
        <v>129</v>
      </c>
      <c r="G363">
        <v>1</v>
      </c>
      <c r="H363">
        <v>2023</v>
      </c>
      <c r="I363" t="s">
        <v>478</v>
      </c>
    </row>
    <row r="364" spans="1:9" x14ac:dyDescent="0.3">
      <c r="A364" t="s">
        <v>10148</v>
      </c>
      <c r="B364" t="s">
        <v>40</v>
      </c>
      <c r="C364">
        <v>7648876604</v>
      </c>
      <c r="D364" s="2">
        <v>1</v>
      </c>
      <c r="E364" t="str">
        <f>"4574674200961662"</f>
        <v>4574674200961662</v>
      </c>
      <c r="F364" t="str">
        <f>"407"</f>
        <v>407</v>
      </c>
      <c r="G364">
        <v>1</v>
      </c>
      <c r="H364">
        <v>2023</v>
      </c>
      <c r="I364" t="s">
        <v>479</v>
      </c>
    </row>
    <row r="365" spans="1:9" x14ac:dyDescent="0.3">
      <c r="A365" t="s">
        <v>10148</v>
      </c>
      <c r="B365" t="s">
        <v>40</v>
      </c>
      <c r="C365">
        <v>7648876604</v>
      </c>
      <c r="D365" s="2">
        <v>1</v>
      </c>
      <c r="E365" t="str">
        <f>"4574674200434355"</f>
        <v>4574674200434355</v>
      </c>
      <c r="F365" t="str">
        <f>"886"</f>
        <v>886</v>
      </c>
      <c r="G365">
        <v>1</v>
      </c>
      <c r="H365">
        <v>2023</v>
      </c>
      <c r="I365" t="s">
        <v>480</v>
      </c>
    </row>
    <row r="366" spans="1:9" x14ac:dyDescent="0.3">
      <c r="A366" t="s">
        <v>10148</v>
      </c>
      <c r="B366" t="s">
        <v>40</v>
      </c>
      <c r="C366">
        <v>7648876604</v>
      </c>
      <c r="D366" s="2">
        <v>1</v>
      </c>
      <c r="E366" t="str">
        <f>"4574674200961670"</f>
        <v>4574674200961670</v>
      </c>
      <c r="F366" t="str">
        <f>"447"</f>
        <v>447</v>
      </c>
      <c r="G366">
        <v>1</v>
      </c>
      <c r="H366">
        <v>2023</v>
      </c>
      <c r="I366" t="s">
        <v>481</v>
      </c>
    </row>
    <row r="367" spans="1:9" x14ac:dyDescent="0.3">
      <c r="A367" t="s">
        <v>10148</v>
      </c>
      <c r="B367" t="s">
        <v>40</v>
      </c>
      <c r="C367">
        <v>7648876604</v>
      </c>
      <c r="D367" s="2">
        <v>1</v>
      </c>
      <c r="E367" t="str">
        <f>"4574674200434611"</f>
        <v>4574674200434611</v>
      </c>
      <c r="F367" t="str">
        <f>"946"</f>
        <v>946</v>
      </c>
      <c r="G367">
        <v>1</v>
      </c>
      <c r="H367">
        <v>2023</v>
      </c>
      <c r="I367" t="s">
        <v>482</v>
      </c>
    </row>
    <row r="368" spans="1:9" x14ac:dyDescent="0.3">
      <c r="A368" t="s">
        <v>10148</v>
      </c>
      <c r="B368" t="s">
        <v>40</v>
      </c>
      <c r="C368">
        <v>7648876604</v>
      </c>
      <c r="D368" s="2">
        <v>1</v>
      </c>
      <c r="E368" t="str">
        <f>"4574674200961704"</f>
        <v>4574674200961704</v>
      </c>
      <c r="F368" t="str">
        <f>"775"</f>
        <v>775</v>
      </c>
      <c r="G368">
        <v>1</v>
      </c>
      <c r="H368">
        <v>2023</v>
      </c>
      <c r="I368" t="s">
        <v>483</v>
      </c>
    </row>
    <row r="369" spans="1:9" x14ac:dyDescent="0.3">
      <c r="A369" t="s">
        <v>10148</v>
      </c>
      <c r="B369" t="s">
        <v>40</v>
      </c>
      <c r="C369">
        <v>7648876604</v>
      </c>
      <c r="D369" s="2">
        <v>1</v>
      </c>
      <c r="E369" t="str">
        <f>"4574674200434652"</f>
        <v>4574674200434652</v>
      </c>
      <c r="F369" t="str">
        <f>"012"</f>
        <v>012</v>
      </c>
      <c r="G369">
        <v>1</v>
      </c>
      <c r="H369">
        <v>2023</v>
      </c>
      <c r="I369" t="s">
        <v>484</v>
      </c>
    </row>
    <row r="370" spans="1:9" x14ac:dyDescent="0.3">
      <c r="A370" t="s">
        <v>10148</v>
      </c>
      <c r="B370" t="s">
        <v>40</v>
      </c>
      <c r="C370">
        <v>7648876604</v>
      </c>
      <c r="D370" s="2">
        <v>1</v>
      </c>
      <c r="E370" t="str">
        <f>"4574674200961712"</f>
        <v>4574674200961712</v>
      </c>
      <c r="F370" t="str">
        <f>"973"</f>
        <v>973</v>
      </c>
      <c r="G370">
        <v>1</v>
      </c>
      <c r="H370">
        <v>2023</v>
      </c>
      <c r="I370" t="s">
        <v>485</v>
      </c>
    </row>
    <row r="371" spans="1:9" x14ac:dyDescent="0.3">
      <c r="A371" t="s">
        <v>10148</v>
      </c>
      <c r="B371" t="s">
        <v>40</v>
      </c>
      <c r="C371">
        <v>7648876604</v>
      </c>
      <c r="D371" s="2">
        <v>1</v>
      </c>
      <c r="E371" t="str">
        <f>"4574674200961779"</f>
        <v>4574674200961779</v>
      </c>
      <c r="F371" t="str">
        <f>"925"</f>
        <v>925</v>
      </c>
      <c r="G371">
        <v>1</v>
      </c>
      <c r="H371">
        <v>2023</v>
      </c>
      <c r="I371" t="s">
        <v>486</v>
      </c>
    </row>
    <row r="372" spans="1:9" x14ac:dyDescent="0.3">
      <c r="A372" t="s">
        <v>10149</v>
      </c>
      <c r="B372" t="s">
        <v>41</v>
      </c>
      <c r="C372">
        <v>7648876604</v>
      </c>
      <c r="D372" s="2">
        <v>1</v>
      </c>
      <c r="E372" t="str">
        <f>"4574674200960748"</f>
        <v>4574674200960748</v>
      </c>
      <c r="F372" t="str">
        <f>"794"</f>
        <v>794</v>
      </c>
      <c r="G372">
        <v>1</v>
      </c>
      <c r="H372">
        <v>2023</v>
      </c>
      <c r="I372" t="s">
        <v>487</v>
      </c>
    </row>
    <row r="373" spans="1:9" x14ac:dyDescent="0.3">
      <c r="A373" t="s">
        <v>10149</v>
      </c>
      <c r="B373" t="s">
        <v>41</v>
      </c>
      <c r="C373">
        <v>7648876604</v>
      </c>
      <c r="D373" s="2">
        <v>1</v>
      </c>
      <c r="E373" t="str">
        <f>"4574674200961837"</f>
        <v>4574674200961837</v>
      </c>
      <c r="F373" t="str">
        <f>"069"</f>
        <v>069</v>
      </c>
      <c r="G373">
        <v>1</v>
      </c>
      <c r="H373">
        <v>2023</v>
      </c>
      <c r="I373" t="s">
        <v>488</v>
      </c>
    </row>
    <row r="374" spans="1:9" x14ac:dyDescent="0.3">
      <c r="A374" t="s">
        <v>10149</v>
      </c>
      <c r="B374" t="s">
        <v>41</v>
      </c>
      <c r="C374">
        <v>7648876604</v>
      </c>
      <c r="D374" s="2">
        <v>1</v>
      </c>
      <c r="E374" t="str">
        <f>"4574674200434660"</f>
        <v>4574674200434660</v>
      </c>
      <c r="F374" t="str">
        <f>"607"</f>
        <v>607</v>
      </c>
      <c r="G374">
        <v>1</v>
      </c>
      <c r="H374">
        <v>2023</v>
      </c>
      <c r="I374" t="s">
        <v>489</v>
      </c>
    </row>
    <row r="375" spans="1:9" x14ac:dyDescent="0.3">
      <c r="A375" t="s">
        <v>10149</v>
      </c>
      <c r="B375" t="s">
        <v>41</v>
      </c>
      <c r="C375">
        <v>7648876604</v>
      </c>
      <c r="D375" s="2">
        <v>1</v>
      </c>
      <c r="E375" t="str">
        <f>"4574674200961852"</f>
        <v>4574674200961852</v>
      </c>
      <c r="F375" t="str">
        <f>"454"</f>
        <v>454</v>
      </c>
      <c r="G375">
        <v>1</v>
      </c>
      <c r="H375">
        <v>2023</v>
      </c>
      <c r="I375" t="s">
        <v>490</v>
      </c>
    </row>
    <row r="376" spans="1:9" x14ac:dyDescent="0.3">
      <c r="A376" t="s">
        <v>10149</v>
      </c>
      <c r="B376" t="s">
        <v>41</v>
      </c>
      <c r="C376">
        <v>7648876604</v>
      </c>
      <c r="D376" s="2">
        <v>1</v>
      </c>
      <c r="E376" t="str">
        <f>"4574674200434496"</f>
        <v>4574674200434496</v>
      </c>
      <c r="F376" t="str">
        <f>"654"</f>
        <v>654</v>
      </c>
      <c r="G376">
        <v>1</v>
      </c>
      <c r="H376">
        <v>2023</v>
      </c>
      <c r="I376" t="s">
        <v>491</v>
      </c>
    </row>
    <row r="377" spans="1:9" x14ac:dyDescent="0.3">
      <c r="A377" t="s">
        <v>10149</v>
      </c>
      <c r="B377" t="s">
        <v>41</v>
      </c>
      <c r="C377">
        <v>7648876604</v>
      </c>
      <c r="D377" s="2">
        <v>1</v>
      </c>
      <c r="E377" t="str">
        <f>"4574674200961878"</f>
        <v>4574674200961878</v>
      </c>
      <c r="F377" t="str">
        <f>"948"</f>
        <v>948</v>
      </c>
      <c r="G377">
        <v>1</v>
      </c>
      <c r="H377">
        <v>2023</v>
      </c>
      <c r="I377" t="s">
        <v>492</v>
      </c>
    </row>
    <row r="378" spans="1:9" x14ac:dyDescent="0.3">
      <c r="A378" t="s">
        <v>10149</v>
      </c>
      <c r="B378" t="s">
        <v>41</v>
      </c>
      <c r="C378">
        <v>7648876604</v>
      </c>
      <c r="D378" s="2">
        <v>1</v>
      </c>
      <c r="E378" t="str">
        <f>"4574674200961886"</f>
        <v>4574674200961886</v>
      </c>
      <c r="F378" t="str">
        <f>"360"</f>
        <v>360</v>
      </c>
      <c r="G378">
        <v>1</v>
      </c>
      <c r="H378">
        <v>2023</v>
      </c>
      <c r="I378" t="s">
        <v>493</v>
      </c>
    </row>
    <row r="379" spans="1:9" x14ac:dyDescent="0.3">
      <c r="A379" t="s">
        <v>10149</v>
      </c>
      <c r="B379" t="s">
        <v>41</v>
      </c>
      <c r="C379">
        <v>7648876604</v>
      </c>
      <c r="D379" s="2">
        <v>1</v>
      </c>
      <c r="E379" t="str">
        <f>"4574674200434512"</f>
        <v>4574674200434512</v>
      </c>
      <c r="F379" t="str">
        <f>"826"</f>
        <v>826</v>
      </c>
      <c r="G379">
        <v>1</v>
      </c>
      <c r="H379">
        <v>2023</v>
      </c>
      <c r="I379" t="s">
        <v>494</v>
      </c>
    </row>
    <row r="380" spans="1:9" x14ac:dyDescent="0.3">
      <c r="A380" t="s">
        <v>10149</v>
      </c>
      <c r="B380" t="s">
        <v>41</v>
      </c>
      <c r="C380">
        <v>7648876604</v>
      </c>
      <c r="D380" s="2">
        <v>1</v>
      </c>
      <c r="E380" t="str">
        <f>"4574674200961910"</f>
        <v>4574674200961910</v>
      </c>
      <c r="F380" t="str">
        <f>"838"</f>
        <v>838</v>
      </c>
      <c r="G380">
        <v>1</v>
      </c>
      <c r="H380">
        <v>2023</v>
      </c>
      <c r="I380" t="s">
        <v>495</v>
      </c>
    </row>
    <row r="381" spans="1:9" x14ac:dyDescent="0.3">
      <c r="A381" t="s">
        <v>10149</v>
      </c>
      <c r="B381" t="s">
        <v>41</v>
      </c>
      <c r="C381">
        <v>7648876604</v>
      </c>
      <c r="D381" s="2">
        <v>1</v>
      </c>
      <c r="E381" t="str">
        <f>"4574674200434579"</f>
        <v>4574674200434579</v>
      </c>
      <c r="F381" t="str">
        <f>"804"</f>
        <v>804</v>
      </c>
      <c r="G381">
        <v>1</v>
      </c>
      <c r="H381">
        <v>2023</v>
      </c>
      <c r="I381" t="s">
        <v>496</v>
      </c>
    </row>
    <row r="382" spans="1:9" x14ac:dyDescent="0.3">
      <c r="A382" t="s">
        <v>10150</v>
      </c>
      <c r="B382" t="s">
        <v>42</v>
      </c>
      <c r="C382">
        <v>7648876604</v>
      </c>
      <c r="D382" s="2">
        <v>1</v>
      </c>
      <c r="E382" t="str">
        <f>"4574674200961928"</f>
        <v>4574674200961928</v>
      </c>
      <c r="F382" t="str">
        <f>"946"</f>
        <v>946</v>
      </c>
      <c r="G382">
        <v>1</v>
      </c>
      <c r="H382">
        <v>2023</v>
      </c>
      <c r="I382" t="s">
        <v>497</v>
      </c>
    </row>
    <row r="383" spans="1:9" x14ac:dyDescent="0.3">
      <c r="A383" t="s">
        <v>10150</v>
      </c>
      <c r="B383" t="s">
        <v>42</v>
      </c>
      <c r="C383">
        <v>7648876604</v>
      </c>
      <c r="D383" s="2">
        <v>1</v>
      </c>
      <c r="E383" t="str">
        <f>"4574674200962009"</f>
        <v>4574674200962009</v>
      </c>
      <c r="F383" t="str">
        <f>"683"</f>
        <v>683</v>
      </c>
      <c r="G383">
        <v>1</v>
      </c>
      <c r="H383">
        <v>2023</v>
      </c>
      <c r="I383" t="s">
        <v>498</v>
      </c>
    </row>
    <row r="384" spans="1:9" x14ac:dyDescent="0.3">
      <c r="A384" t="s">
        <v>10150</v>
      </c>
      <c r="B384" t="s">
        <v>42</v>
      </c>
      <c r="C384">
        <v>7648876604</v>
      </c>
      <c r="D384" s="2">
        <v>1</v>
      </c>
      <c r="E384" t="str">
        <f>"4574674200962017"</f>
        <v>4574674200962017</v>
      </c>
      <c r="F384" t="str">
        <f>"373"</f>
        <v>373</v>
      </c>
      <c r="G384">
        <v>1</v>
      </c>
      <c r="H384">
        <v>2023</v>
      </c>
      <c r="I384" t="s">
        <v>499</v>
      </c>
    </row>
    <row r="385" spans="1:9" x14ac:dyDescent="0.3">
      <c r="A385" t="s">
        <v>10150</v>
      </c>
      <c r="B385" t="s">
        <v>42</v>
      </c>
      <c r="C385">
        <v>7648876604</v>
      </c>
      <c r="D385" s="2">
        <v>1</v>
      </c>
      <c r="E385" t="str">
        <f>"4574674200434587"</f>
        <v>4574674200434587</v>
      </c>
      <c r="F385" t="str">
        <f>"303"</f>
        <v>303</v>
      </c>
      <c r="G385">
        <v>1</v>
      </c>
      <c r="H385">
        <v>2023</v>
      </c>
      <c r="I385" t="s">
        <v>500</v>
      </c>
    </row>
    <row r="386" spans="1:9" x14ac:dyDescent="0.3">
      <c r="A386" t="s">
        <v>10150</v>
      </c>
      <c r="B386" t="s">
        <v>42</v>
      </c>
      <c r="C386">
        <v>7648876604</v>
      </c>
      <c r="D386" s="2">
        <v>1</v>
      </c>
      <c r="E386" t="str">
        <f>"4574674200962025"</f>
        <v>4574674200962025</v>
      </c>
      <c r="F386" t="str">
        <f>"785"</f>
        <v>785</v>
      </c>
      <c r="G386">
        <v>1</v>
      </c>
      <c r="H386">
        <v>2023</v>
      </c>
      <c r="I386" t="s">
        <v>501</v>
      </c>
    </row>
    <row r="387" spans="1:9" x14ac:dyDescent="0.3">
      <c r="A387" t="s">
        <v>10150</v>
      </c>
      <c r="B387" t="s">
        <v>42</v>
      </c>
      <c r="C387">
        <v>7648876604</v>
      </c>
      <c r="D387" s="2">
        <v>1</v>
      </c>
      <c r="E387" t="str">
        <f>"4574674200434728"</f>
        <v>4574674200434728</v>
      </c>
      <c r="F387" t="str">
        <f>"455"</f>
        <v>455</v>
      </c>
      <c r="G387">
        <v>1</v>
      </c>
      <c r="H387">
        <v>2023</v>
      </c>
      <c r="I387" t="s">
        <v>502</v>
      </c>
    </row>
    <row r="388" spans="1:9" x14ac:dyDescent="0.3">
      <c r="A388" t="s">
        <v>10150</v>
      </c>
      <c r="B388" t="s">
        <v>42</v>
      </c>
      <c r="C388">
        <v>7648876604</v>
      </c>
      <c r="D388" s="2">
        <v>1</v>
      </c>
      <c r="E388" t="str">
        <f>"4574674200962058"</f>
        <v>4574674200962058</v>
      </c>
      <c r="F388" t="str">
        <f>"311"</f>
        <v>311</v>
      </c>
      <c r="G388">
        <v>1</v>
      </c>
      <c r="H388">
        <v>2023</v>
      </c>
      <c r="I388" t="s">
        <v>503</v>
      </c>
    </row>
    <row r="389" spans="1:9" x14ac:dyDescent="0.3">
      <c r="A389" t="s">
        <v>10150</v>
      </c>
      <c r="B389" t="s">
        <v>42</v>
      </c>
      <c r="C389">
        <v>7648876604</v>
      </c>
      <c r="D389" s="2">
        <v>1</v>
      </c>
      <c r="E389" t="str">
        <f>"4574674200434744"</f>
        <v>4574674200434744</v>
      </c>
      <c r="F389" t="str">
        <f>"785"</f>
        <v>785</v>
      </c>
      <c r="G389">
        <v>1</v>
      </c>
      <c r="H389">
        <v>2023</v>
      </c>
      <c r="I389" t="s">
        <v>504</v>
      </c>
    </row>
    <row r="390" spans="1:9" x14ac:dyDescent="0.3">
      <c r="A390" t="s">
        <v>10150</v>
      </c>
      <c r="B390" t="s">
        <v>42</v>
      </c>
      <c r="C390">
        <v>7648876604</v>
      </c>
      <c r="D390" s="2">
        <v>1</v>
      </c>
      <c r="E390" t="str">
        <f>"4574674200434835"</f>
        <v>4574674200434835</v>
      </c>
      <c r="F390" t="str">
        <f>"763"</f>
        <v>763</v>
      </c>
      <c r="G390">
        <v>1</v>
      </c>
      <c r="H390">
        <v>2023</v>
      </c>
      <c r="I390" t="s">
        <v>505</v>
      </c>
    </row>
    <row r="391" spans="1:9" x14ac:dyDescent="0.3">
      <c r="A391" t="s">
        <v>10150</v>
      </c>
      <c r="B391" t="s">
        <v>42</v>
      </c>
      <c r="C391">
        <v>7648876604</v>
      </c>
      <c r="D391" s="2">
        <v>1</v>
      </c>
      <c r="E391" t="str">
        <f>"4574674200962066"</f>
        <v>4574674200962066</v>
      </c>
      <c r="F391" t="str">
        <f>"735"</f>
        <v>735</v>
      </c>
      <c r="G391">
        <v>1</v>
      </c>
      <c r="H391">
        <v>2023</v>
      </c>
      <c r="I391" t="s">
        <v>506</v>
      </c>
    </row>
    <row r="392" spans="1:9" x14ac:dyDescent="0.3">
      <c r="A392" t="s">
        <v>10151</v>
      </c>
      <c r="B392" t="s">
        <v>43</v>
      </c>
      <c r="C392">
        <v>7648876604</v>
      </c>
      <c r="D392" s="2">
        <v>1</v>
      </c>
      <c r="E392" t="str">
        <f>"4574674200434793"</f>
        <v>4574674200434793</v>
      </c>
      <c r="F392" t="str">
        <f>"128"</f>
        <v>128</v>
      </c>
      <c r="G392">
        <v>1</v>
      </c>
      <c r="H392">
        <v>2023</v>
      </c>
      <c r="I392" t="s">
        <v>507</v>
      </c>
    </row>
    <row r="393" spans="1:9" x14ac:dyDescent="0.3">
      <c r="A393" t="s">
        <v>10151</v>
      </c>
      <c r="B393" t="s">
        <v>43</v>
      </c>
      <c r="C393">
        <v>7648876604</v>
      </c>
      <c r="D393" s="2">
        <v>1</v>
      </c>
      <c r="E393" t="str">
        <f>"4574674200434868"</f>
        <v>4574674200434868</v>
      </c>
      <c r="F393" t="str">
        <f>"186"</f>
        <v>186</v>
      </c>
      <c r="G393">
        <v>1</v>
      </c>
      <c r="H393">
        <v>2023</v>
      </c>
      <c r="I393" t="s">
        <v>508</v>
      </c>
    </row>
    <row r="394" spans="1:9" x14ac:dyDescent="0.3">
      <c r="A394" t="s">
        <v>10151</v>
      </c>
      <c r="B394" t="s">
        <v>43</v>
      </c>
      <c r="C394">
        <v>7648876604</v>
      </c>
      <c r="D394" s="2">
        <v>1</v>
      </c>
      <c r="E394" t="str">
        <f>"4574674200962108"</f>
        <v>4574674200962108</v>
      </c>
      <c r="F394" t="str">
        <f>"700"</f>
        <v>700</v>
      </c>
      <c r="G394">
        <v>1</v>
      </c>
      <c r="H394">
        <v>2023</v>
      </c>
      <c r="I394" t="s">
        <v>509</v>
      </c>
    </row>
    <row r="395" spans="1:9" x14ac:dyDescent="0.3">
      <c r="A395" t="s">
        <v>10151</v>
      </c>
      <c r="B395" t="s">
        <v>43</v>
      </c>
      <c r="C395">
        <v>7648876604</v>
      </c>
      <c r="D395" s="2">
        <v>1</v>
      </c>
      <c r="E395" t="str">
        <f>"4574674200434876"</f>
        <v>4574674200434876</v>
      </c>
      <c r="F395" t="str">
        <f>"435"</f>
        <v>435</v>
      </c>
      <c r="G395">
        <v>1</v>
      </c>
      <c r="H395">
        <v>2023</v>
      </c>
      <c r="I395" t="s">
        <v>510</v>
      </c>
    </row>
    <row r="396" spans="1:9" x14ac:dyDescent="0.3">
      <c r="A396" t="s">
        <v>10151</v>
      </c>
      <c r="B396" t="s">
        <v>43</v>
      </c>
      <c r="C396">
        <v>7648876604</v>
      </c>
      <c r="D396" s="2">
        <v>1</v>
      </c>
      <c r="E396" t="str">
        <f>"4574674200435030"</f>
        <v>4574674200435030</v>
      </c>
      <c r="F396" t="str">
        <f>"096"</f>
        <v>096</v>
      </c>
      <c r="G396">
        <v>1</v>
      </c>
      <c r="H396">
        <v>2023</v>
      </c>
      <c r="I396" t="s">
        <v>511</v>
      </c>
    </row>
    <row r="397" spans="1:9" x14ac:dyDescent="0.3">
      <c r="A397" t="s">
        <v>10151</v>
      </c>
      <c r="B397" t="s">
        <v>43</v>
      </c>
      <c r="C397">
        <v>7648876604</v>
      </c>
      <c r="D397" s="2">
        <v>1</v>
      </c>
      <c r="E397" t="str">
        <f>"4574674200960797"</f>
        <v>4574674200960797</v>
      </c>
      <c r="F397" t="str">
        <f>"130"</f>
        <v>130</v>
      </c>
      <c r="G397">
        <v>1</v>
      </c>
      <c r="H397">
        <v>2023</v>
      </c>
      <c r="I397" t="s">
        <v>512</v>
      </c>
    </row>
    <row r="398" spans="1:9" x14ac:dyDescent="0.3">
      <c r="A398" t="s">
        <v>10151</v>
      </c>
      <c r="B398" t="s">
        <v>43</v>
      </c>
      <c r="C398">
        <v>7648876604</v>
      </c>
      <c r="D398" s="2">
        <v>1</v>
      </c>
      <c r="E398" t="str">
        <f>"4574674200435048"</f>
        <v>4574674200435048</v>
      </c>
      <c r="F398" t="str">
        <f>"550"</f>
        <v>550</v>
      </c>
      <c r="G398">
        <v>1</v>
      </c>
      <c r="H398">
        <v>2023</v>
      </c>
      <c r="I398" t="s">
        <v>513</v>
      </c>
    </row>
    <row r="399" spans="1:9" x14ac:dyDescent="0.3">
      <c r="A399" t="s">
        <v>10151</v>
      </c>
      <c r="B399" t="s">
        <v>43</v>
      </c>
      <c r="C399">
        <v>7648876604</v>
      </c>
      <c r="D399" s="2">
        <v>1</v>
      </c>
      <c r="E399" t="str">
        <f>"4574674200962173"</f>
        <v>4574674200962173</v>
      </c>
      <c r="F399" t="str">
        <f>"969"</f>
        <v>969</v>
      </c>
      <c r="G399">
        <v>1</v>
      </c>
      <c r="H399">
        <v>2023</v>
      </c>
      <c r="I399" t="s">
        <v>514</v>
      </c>
    </row>
    <row r="400" spans="1:9" x14ac:dyDescent="0.3">
      <c r="A400" t="s">
        <v>10151</v>
      </c>
      <c r="B400" t="s">
        <v>43</v>
      </c>
      <c r="C400">
        <v>7648876604</v>
      </c>
      <c r="D400" s="2">
        <v>1</v>
      </c>
      <c r="E400" t="str">
        <f>"4574674200435113"</f>
        <v>4574674200435113</v>
      </c>
      <c r="F400" t="str">
        <f>"374"</f>
        <v>374</v>
      </c>
      <c r="G400">
        <v>1</v>
      </c>
      <c r="H400">
        <v>2023</v>
      </c>
      <c r="I400" t="s">
        <v>515</v>
      </c>
    </row>
    <row r="401" spans="1:9" x14ac:dyDescent="0.3">
      <c r="A401" t="s">
        <v>10151</v>
      </c>
      <c r="B401" t="s">
        <v>43</v>
      </c>
      <c r="C401">
        <v>7648876604</v>
      </c>
      <c r="D401" s="2">
        <v>1</v>
      </c>
      <c r="E401" t="str">
        <f>"4574674200962199"</f>
        <v>4574674200962199</v>
      </c>
      <c r="F401" t="str">
        <f>"905"</f>
        <v>905</v>
      </c>
      <c r="G401">
        <v>1</v>
      </c>
      <c r="H401">
        <v>2023</v>
      </c>
      <c r="I401" t="s">
        <v>516</v>
      </c>
    </row>
    <row r="402" spans="1:9" x14ac:dyDescent="0.3">
      <c r="A402" t="s">
        <v>10152</v>
      </c>
      <c r="B402" t="s">
        <v>44</v>
      </c>
      <c r="C402">
        <v>7648876604</v>
      </c>
      <c r="D402" s="2">
        <v>1</v>
      </c>
      <c r="E402" t="str">
        <f>"4574674200962413"</f>
        <v>4574674200962413</v>
      </c>
      <c r="F402" t="str">
        <f>"846"</f>
        <v>846</v>
      </c>
      <c r="G402">
        <v>1</v>
      </c>
      <c r="H402">
        <v>2023</v>
      </c>
      <c r="I402" t="s">
        <v>517</v>
      </c>
    </row>
    <row r="403" spans="1:9" x14ac:dyDescent="0.3">
      <c r="A403" t="s">
        <v>10152</v>
      </c>
      <c r="B403" t="s">
        <v>44</v>
      </c>
      <c r="C403">
        <v>7648876604</v>
      </c>
      <c r="D403" s="2">
        <v>1</v>
      </c>
      <c r="E403" t="str">
        <f>"4574674200435154"</f>
        <v>4574674200435154</v>
      </c>
      <c r="F403" t="str">
        <f>"438"</f>
        <v>438</v>
      </c>
      <c r="G403">
        <v>1</v>
      </c>
      <c r="H403">
        <v>2023</v>
      </c>
      <c r="I403" t="s">
        <v>518</v>
      </c>
    </row>
    <row r="404" spans="1:9" x14ac:dyDescent="0.3">
      <c r="A404" t="s">
        <v>10152</v>
      </c>
      <c r="B404" t="s">
        <v>44</v>
      </c>
      <c r="C404">
        <v>7648876604</v>
      </c>
      <c r="D404" s="2">
        <v>1</v>
      </c>
      <c r="E404" t="str">
        <f>"4574674200962405"</f>
        <v>4574674200962405</v>
      </c>
      <c r="F404" t="str">
        <f>"251"</f>
        <v>251</v>
      </c>
      <c r="G404">
        <v>1</v>
      </c>
      <c r="H404">
        <v>2023</v>
      </c>
      <c r="I404" t="s">
        <v>519</v>
      </c>
    </row>
    <row r="405" spans="1:9" x14ac:dyDescent="0.3">
      <c r="A405" t="s">
        <v>10152</v>
      </c>
      <c r="B405" t="s">
        <v>44</v>
      </c>
      <c r="C405">
        <v>7648876604</v>
      </c>
      <c r="D405" s="2">
        <v>1</v>
      </c>
      <c r="E405" t="str">
        <f>"4574674200962462"</f>
        <v>4574674200962462</v>
      </c>
      <c r="F405" t="str">
        <f>"103"</f>
        <v>103</v>
      </c>
      <c r="G405">
        <v>1</v>
      </c>
      <c r="H405">
        <v>2023</v>
      </c>
      <c r="I405" t="s">
        <v>520</v>
      </c>
    </row>
    <row r="406" spans="1:9" x14ac:dyDescent="0.3">
      <c r="A406" t="s">
        <v>10152</v>
      </c>
      <c r="B406" t="s">
        <v>44</v>
      </c>
      <c r="C406">
        <v>7648876604</v>
      </c>
      <c r="D406" s="2">
        <v>1</v>
      </c>
      <c r="E406" t="str">
        <f>"4574674200434983"</f>
        <v>4574674200434983</v>
      </c>
      <c r="F406" t="str">
        <f>"152"</f>
        <v>152</v>
      </c>
      <c r="G406">
        <v>1</v>
      </c>
      <c r="H406">
        <v>2023</v>
      </c>
      <c r="I406" t="s">
        <v>521</v>
      </c>
    </row>
    <row r="407" spans="1:9" x14ac:dyDescent="0.3">
      <c r="A407" t="s">
        <v>10152</v>
      </c>
      <c r="B407" t="s">
        <v>44</v>
      </c>
      <c r="C407">
        <v>7648876604</v>
      </c>
      <c r="D407" s="2">
        <v>1</v>
      </c>
      <c r="E407" t="str">
        <f>"4574674200434934"</f>
        <v>4574674200434934</v>
      </c>
      <c r="F407" t="str">
        <f>"178"</f>
        <v>178</v>
      </c>
      <c r="G407">
        <v>1</v>
      </c>
      <c r="H407">
        <v>2023</v>
      </c>
      <c r="I407" t="s">
        <v>522</v>
      </c>
    </row>
    <row r="408" spans="1:9" x14ac:dyDescent="0.3">
      <c r="A408" t="s">
        <v>10152</v>
      </c>
      <c r="B408" t="s">
        <v>44</v>
      </c>
      <c r="C408">
        <v>7648876604</v>
      </c>
      <c r="D408" s="2">
        <v>1</v>
      </c>
      <c r="E408" t="str">
        <f>"4574674200962454"</f>
        <v>4574674200962454</v>
      </c>
      <c r="F408" t="str">
        <f>"904"</f>
        <v>904</v>
      </c>
      <c r="G408">
        <v>1</v>
      </c>
      <c r="H408">
        <v>2023</v>
      </c>
      <c r="I408" t="s">
        <v>523</v>
      </c>
    </row>
    <row r="409" spans="1:9" x14ac:dyDescent="0.3">
      <c r="A409" t="s">
        <v>10152</v>
      </c>
      <c r="B409" t="s">
        <v>44</v>
      </c>
      <c r="C409">
        <v>7648876604</v>
      </c>
      <c r="D409" s="2">
        <v>1</v>
      </c>
      <c r="E409" t="str">
        <f>"4574674200434975"</f>
        <v>4574674200434975</v>
      </c>
      <c r="F409" t="str">
        <f>"338"</f>
        <v>338</v>
      </c>
      <c r="G409">
        <v>1</v>
      </c>
      <c r="H409">
        <v>2023</v>
      </c>
      <c r="I409" t="s">
        <v>524</v>
      </c>
    </row>
    <row r="410" spans="1:9" x14ac:dyDescent="0.3">
      <c r="A410" t="s">
        <v>10152</v>
      </c>
      <c r="B410" t="s">
        <v>44</v>
      </c>
      <c r="C410">
        <v>7648876604</v>
      </c>
      <c r="D410" s="2">
        <v>1</v>
      </c>
      <c r="E410" t="str">
        <f>"4574674200962561"</f>
        <v>4574674200962561</v>
      </c>
      <c r="F410" t="str">
        <f>"734"</f>
        <v>734</v>
      </c>
      <c r="G410">
        <v>1</v>
      </c>
      <c r="H410">
        <v>2023</v>
      </c>
      <c r="I410" t="s">
        <v>525</v>
      </c>
    </row>
    <row r="411" spans="1:9" x14ac:dyDescent="0.3">
      <c r="A411" t="s">
        <v>10152</v>
      </c>
      <c r="B411" t="s">
        <v>44</v>
      </c>
      <c r="C411">
        <v>7648876604</v>
      </c>
      <c r="D411" s="2">
        <v>1</v>
      </c>
      <c r="E411" t="str">
        <f>"4574674200435402"</f>
        <v>4574674200435402</v>
      </c>
      <c r="F411" t="str">
        <f>"991"</f>
        <v>991</v>
      </c>
      <c r="G411">
        <v>1</v>
      </c>
      <c r="H411">
        <v>2023</v>
      </c>
      <c r="I411" t="s">
        <v>526</v>
      </c>
    </row>
    <row r="412" spans="1:9" x14ac:dyDescent="0.3">
      <c r="A412" t="s">
        <v>10153</v>
      </c>
      <c r="B412" t="s">
        <v>45</v>
      </c>
      <c r="C412">
        <v>7648876604</v>
      </c>
      <c r="D412" s="2">
        <v>1</v>
      </c>
      <c r="E412" t="str">
        <f>"4574674200962595"</f>
        <v>4574674200962595</v>
      </c>
      <c r="F412" t="str">
        <f>"124"</f>
        <v>124</v>
      </c>
      <c r="G412">
        <v>1</v>
      </c>
      <c r="H412">
        <v>2023</v>
      </c>
      <c r="I412" t="s">
        <v>527</v>
      </c>
    </row>
    <row r="413" spans="1:9" x14ac:dyDescent="0.3">
      <c r="A413" t="s">
        <v>10153</v>
      </c>
      <c r="B413" t="s">
        <v>45</v>
      </c>
      <c r="C413">
        <v>7648876604</v>
      </c>
      <c r="D413" s="2">
        <v>1</v>
      </c>
      <c r="E413" t="str">
        <f>"4574674200435436"</f>
        <v>4574674200435436</v>
      </c>
      <c r="F413" t="str">
        <f>"779"</f>
        <v>779</v>
      </c>
      <c r="G413">
        <v>1</v>
      </c>
      <c r="H413">
        <v>2023</v>
      </c>
      <c r="I413" t="s">
        <v>528</v>
      </c>
    </row>
    <row r="414" spans="1:9" x14ac:dyDescent="0.3">
      <c r="A414" t="s">
        <v>10153</v>
      </c>
      <c r="B414" t="s">
        <v>45</v>
      </c>
      <c r="C414">
        <v>7648876604</v>
      </c>
      <c r="D414" s="2">
        <v>1</v>
      </c>
      <c r="E414" t="str">
        <f>"4574674200962611"</f>
        <v>4574674200962611</v>
      </c>
      <c r="F414" t="str">
        <f>"443"</f>
        <v>443</v>
      </c>
      <c r="G414">
        <v>1</v>
      </c>
      <c r="H414">
        <v>2023</v>
      </c>
      <c r="I414" t="s">
        <v>529</v>
      </c>
    </row>
    <row r="415" spans="1:9" x14ac:dyDescent="0.3">
      <c r="A415" t="s">
        <v>10153</v>
      </c>
      <c r="B415" t="s">
        <v>45</v>
      </c>
      <c r="C415">
        <v>7648876604</v>
      </c>
      <c r="D415" s="2">
        <v>1</v>
      </c>
      <c r="E415" t="str">
        <f>"4574674200435501"</f>
        <v>4574674200435501</v>
      </c>
      <c r="F415" t="str">
        <f>"246"</f>
        <v>246</v>
      </c>
      <c r="G415">
        <v>1</v>
      </c>
      <c r="H415">
        <v>2023</v>
      </c>
      <c r="I415" t="s">
        <v>530</v>
      </c>
    </row>
    <row r="416" spans="1:9" x14ac:dyDescent="0.3">
      <c r="A416" t="s">
        <v>10153</v>
      </c>
      <c r="B416" t="s">
        <v>45</v>
      </c>
      <c r="C416">
        <v>7648876604</v>
      </c>
      <c r="D416" s="2">
        <v>1</v>
      </c>
      <c r="E416" t="str">
        <f>"4574674200962637"</f>
        <v>4574674200962637</v>
      </c>
      <c r="F416" t="str">
        <f>"699"</f>
        <v>699</v>
      </c>
      <c r="G416">
        <v>1</v>
      </c>
      <c r="H416">
        <v>2023</v>
      </c>
      <c r="I416" t="s">
        <v>531</v>
      </c>
    </row>
    <row r="417" spans="1:9" x14ac:dyDescent="0.3">
      <c r="A417" t="s">
        <v>10153</v>
      </c>
      <c r="B417" t="s">
        <v>45</v>
      </c>
      <c r="C417">
        <v>7648876604</v>
      </c>
      <c r="D417" s="2">
        <v>1</v>
      </c>
      <c r="E417" t="str">
        <f>"4574674200435527"</f>
        <v>4574674200435527</v>
      </c>
      <c r="F417" t="str">
        <f>"678"</f>
        <v>678</v>
      </c>
      <c r="G417">
        <v>1</v>
      </c>
      <c r="H417">
        <v>2023</v>
      </c>
      <c r="I417" t="s">
        <v>532</v>
      </c>
    </row>
    <row r="418" spans="1:9" x14ac:dyDescent="0.3">
      <c r="A418" t="s">
        <v>10153</v>
      </c>
      <c r="B418" t="s">
        <v>45</v>
      </c>
      <c r="C418">
        <v>7648876604</v>
      </c>
      <c r="D418" s="2">
        <v>1</v>
      </c>
      <c r="E418" t="str">
        <f>"4574674200962645"</f>
        <v>4574674200962645</v>
      </c>
      <c r="F418" t="str">
        <f>"911"</f>
        <v>911</v>
      </c>
      <c r="G418">
        <v>1</v>
      </c>
      <c r="H418">
        <v>2023</v>
      </c>
      <c r="I418" t="s">
        <v>533</v>
      </c>
    </row>
    <row r="419" spans="1:9" x14ac:dyDescent="0.3">
      <c r="A419" t="s">
        <v>10153</v>
      </c>
      <c r="B419" t="s">
        <v>45</v>
      </c>
      <c r="C419">
        <v>7648876604</v>
      </c>
      <c r="D419" s="2">
        <v>1</v>
      </c>
      <c r="E419" t="str">
        <f>"4574674200435550"</f>
        <v>4574674200435550</v>
      </c>
      <c r="F419" t="str">
        <f>"477"</f>
        <v>477</v>
      </c>
      <c r="G419">
        <v>1</v>
      </c>
      <c r="H419">
        <v>2023</v>
      </c>
      <c r="I419" t="s">
        <v>534</v>
      </c>
    </row>
    <row r="420" spans="1:9" x14ac:dyDescent="0.3">
      <c r="A420" t="s">
        <v>10153</v>
      </c>
      <c r="B420" t="s">
        <v>45</v>
      </c>
      <c r="C420">
        <v>7648876604</v>
      </c>
      <c r="D420" s="2">
        <v>1</v>
      </c>
      <c r="E420" t="str">
        <f>"4574674200962660"</f>
        <v>4574674200962660</v>
      </c>
      <c r="F420" t="str">
        <f>"508"</f>
        <v>508</v>
      </c>
      <c r="G420">
        <v>1</v>
      </c>
      <c r="H420">
        <v>2023</v>
      </c>
      <c r="I420" t="s">
        <v>535</v>
      </c>
    </row>
    <row r="421" spans="1:9" x14ac:dyDescent="0.3">
      <c r="A421" t="s">
        <v>10153</v>
      </c>
      <c r="B421" t="s">
        <v>45</v>
      </c>
      <c r="C421">
        <v>7648876604</v>
      </c>
      <c r="D421" s="2">
        <v>1</v>
      </c>
      <c r="E421" t="str">
        <f>"4574674200435253"</f>
        <v>4574674200435253</v>
      </c>
      <c r="F421" t="str">
        <f>"366"</f>
        <v>366</v>
      </c>
      <c r="G421">
        <v>1</v>
      </c>
      <c r="H421">
        <v>2023</v>
      </c>
      <c r="I421" t="s">
        <v>536</v>
      </c>
    </row>
    <row r="422" spans="1:9" x14ac:dyDescent="0.3">
      <c r="A422" t="s">
        <v>10142</v>
      </c>
      <c r="B422" t="s">
        <v>34</v>
      </c>
      <c r="C422">
        <v>7648876604</v>
      </c>
      <c r="D422" s="2">
        <v>1</v>
      </c>
      <c r="E422" t="str">
        <f>"4574674200962231"</f>
        <v>4574674200962231</v>
      </c>
      <c r="F422" t="str">
        <f>"490"</f>
        <v>490</v>
      </c>
      <c r="G422">
        <v>1</v>
      </c>
      <c r="H422">
        <v>2023</v>
      </c>
      <c r="I422" t="s">
        <v>537</v>
      </c>
    </row>
    <row r="423" spans="1:9" x14ac:dyDescent="0.3">
      <c r="A423" t="s">
        <v>10142</v>
      </c>
      <c r="B423" t="s">
        <v>34</v>
      </c>
      <c r="C423">
        <v>7648876604</v>
      </c>
      <c r="D423" s="2">
        <v>1</v>
      </c>
      <c r="E423" t="str">
        <f>"4574674200435626"</f>
        <v>4574674200435626</v>
      </c>
      <c r="F423" t="str">
        <f>"843"</f>
        <v>843</v>
      </c>
      <c r="G423">
        <v>1</v>
      </c>
      <c r="H423">
        <v>2023</v>
      </c>
      <c r="I423" t="s">
        <v>538</v>
      </c>
    </row>
    <row r="424" spans="1:9" x14ac:dyDescent="0.3">
      <c r="A424" t="s">
        <v>10142</v>
      </c>
      <c r="B424" t="s">
        <v>34</v>
      </c>
      <c r="C424">
        <v>7648876604</v>
      </c>
      <c r="D424" s="2">
        <v>1</v>
      </c>
      <c r="E424" t="str">
        <f>"4574674200962769"</f>
        <v>4574674200962769</v>
      </c>
      <c r="F424" t="str">
        <f>"170"</f>
        <v>170</v>
      </c>
      <c r="G424">
        <v>1</v>
      </c>
      <c r="H424">
        <v>2023</v>
      </c>
      <c r="I424" t="s">
        <v>539</v>
      </c>
    </row>
    <row r="425" spans="1:9" x14ac:dyDescent="0.3">
      <c r="A425" t="s">
        <v>10142</v>
      </c>
      <c r="B425" t="s">
        <v>34</v>
      </c>
      <c r="C425">
        <v>7648876604</v>
      </c>
      <c r="D425" s="2">
        <v>1</v>
      </c>
      <c r="E425" t="str">
        <f>"4574674200962728"</f>
        <v>4574674200962728</v>
      </c>
      <c r="F425" t="str">
        <f>"318"</f>
        <v>318</v>
      </c>
      <c r="G425">
        <v>1</v>
      </c>
      <c r="H425">
        <v>2023</v>
      </c>
      <c r="I425" t="s">
        <v>540</v>
      </c>
    </row>
    <row r="426" spans="1:9" x14ac:dyDescent="0.3">
      <c r="A426" t="s">
        <v>10142</v>
      </c>
      <c r="B426" t="s">
        <v>34</v>
      </c>
      <c r="C426">
        <v>7648876604</v>
      </c>
      <c r="D426" s="2">
        <v>1</v>
      </c>
      <c r="E426" t="str">
        <f>"4574674200435634"</f>
        <v>4574674200435634</v>
      </c>
      <c r="F426" t="str">
        <f>"410"</f>
        <v>410</v>
      </c>
      <c r="G426">
        <v>1</v>
      </c>
      <c r="H426">
        <v>2023</v>
      </c>
      <c r="I426" t="s">
        <v>541</v>
      </c>
    </row>
    <row r="427" spans="1:9" x14ac:dyDescent="0.3">
      <c r="A427" t="s">
        <v>10142</v>
      </c>
      <c r="B427" t="s">
        <v>34</v>
      </c>
      <c r="C427">
        <v>7648876604</v>
      </c>
      <c r="D427" s="2">
        <v>1</v>
      </c>
      <c r="E427" t="str">
        <f>"4574674200435287"</f>
        <v>4574674200435287</v>
      </c>
      <c r="F427" t="str">
        <f>"104"</f>
        <v>104</v>
      </c>
      <c r="G427">
        <v>1</v>
      </c>
      <c r="H427">
        <v>2023</v>
      </c>
      <c r="I427" t="s">
        <v>542</v>
      </c>
    </row>
    <row r="428" spans="1:9" x14ac:dyDescent="0.3">
      <c r="A428" t="s">
        <v>10142</v>
      </c>
      <c r="B428" t="s">
        <v>34</v>
      </c>
      <c r="C428">
        <v>7648876604</v>
      </c>
      <c r="D428" s="2">
        <v>1</v>
      </c>
      <c r="E428" t="str">
        <f>"4574674200962751"</f>
        <v>4574674200962751</v>
      </c>
      <c r="F428" t="str">
        <f>"492"</f>
        <v>492</v>
      </c>
      <c r="G428">
        <v>1</v>
      </c>
      <c r="H428">
        <v>2023</v>
      </c>
      <c r="I428" t="s">
        <v>543</v>
      </c>
    </row>
    <row r="429" spans="1:9" x14ac:dyDescent="0.3">
      <c r="A429" t="s">
        <v>10142</v>
      </c>
      <c r="B429" t="s">
        <v>34</v>
      </c>
      <c r="C429">
        <v>7648876604</v>
      </c>
      <c r="D429" s="2">
        <v>1</v>
      </c>
      <c r="E429" t="str">
        <f>"4574674200435303"</f>
        <v>4574674200435303</v>
      </c>
      <c r="F429" t="str">
        <f>"052"</f>
        <v>052</v>
      </c>
      <c r="G429">
        <v>1</v>
      </c>
      <c r="H429">
        <v>2023</v>
      </c>
      <c r="I429" t="s">
        <v>544</v>
      </c>
    </row>
    <row r="430" spans="1:9" x14ac:dyDescent="0.3">
      <c r="A430" t="s">
        <v>10142</v>
      </c>
      <c r="B430" t="s">
        <v>34</v>
      </c>
      <c r="C430">
        <v>7648876604</v>
      </c>
      <c r="D430" s="2">
        <v>1</v>
      </c>
      <c r="E430" t="str">
        <f>"4574674200962777"</f>
        <v>4574674200962777</v>
      </c>
      <c r="F430" t="str">
        <f>"017"</f>
        <v>017</v>
      </c>
      <c r="G430">
        <v>1</v>
      </c>
      <c r="H430">
        <v>2023</v>
      </c>
      <c r="I430" t="s">
        <v>545</v>
      </c>
    </row>
    <row r="431" spans="1:9" x14ac:dyDescent="0.3">
      <c r="A431" t="s">
        <v>10142</v>
      </c>
      <c r="B431" t="s">
        <v>34</v>
      </c>
      <c r="C431">
        <v>7648876604</v>
      </c>
      <c r="D431" s="2">
        <v>1</v>
      </c>
      <c r="E431" t="str">
        <f>"4574674200435691"</f>
        <v>4574674200435691</v>
      </c>
      <c r="F431" t="str">
        <f>"438"</f>
        <v>438</v>
      </c>
      <c r="G431">
        <v>1</v>
      </c>
      <c r="H431">
        <v>2023</v>
      </c>
      <c r="I431" t="s">
        <v>546</v>
      </c>
    </row>
    <row r="432" spans="1:9" x14ac:dyDescent="0.3">
      <c r="A432" t="s">
        <v>10154</v>
      </c>
      <c r="B432" t="s">
        <v>46</v>
      </c>
      <c r="C432">
        <v>7648876604</v>
      </c>
      <c r="D432" s="2">
        <v>1</v>
      </c>
      <c r="E432" t="str">
        <f>"4574674200962801"</f>
        <v>4574674200962801</v>
      </c>
      <c r="F432" t="str">
        <f>"803"</f>
        <v>803</v>
      </c>
      <c r="G432">
        <v>1</v>
      </c>
      <c r="H432">
        <v>2023</v>
      </c>
      <c r="I432" t="s">
        <v>547</v>
      </c>
    </row>
    <row r="433" spans="1:9" x14ac:dyDescent="0.3">
      <c r="A433" t="s">
        <v>10154</v>
      </c>
      <c r="B433" t="s">
        <v>46</v>
      </c>
      <c r="C433">
        <v>7648876604</v>
      </c>
      <c r="D433" s="2">
        <v>1</v>
      </c>
      <c r="E433" t="str">
        <f>"4574674200962819"</f>
        <v>4574674200962819</v>
      </c>
      <c r="F433" t="str">
        <f>"021"</f>
        <v>021</v>
      </c>
      <c r="G433">
        <v>1</v>
      </c>
      <c r="H433">
        <v>2023</v>
      </c>
      <c r="I433" t="s">
        <v>548</v>
      </c>
    </row>
    <row r="434" spans="1:9" x14ac:dyDescent="0.3">
      <c r="A434" t="s">
        <v>10154</v>
      </c>
      <c r="B434" t="s">
        <v>46</v>
      </c>
      <c r="C434">
        <v>7648876604</v>
      </c>
      <c r="D434" s="2">
        <v>1</v>
      </c>
      <c r="E434" t="str">
        <f>"4574674200962934"</f>
        <v>4574674200962934</v>
      </c>
      <c r="F434" t="str">
        <f>"003"</f>
        <v>003</v>
      </c>
      <c r="G434">
        <v>1</v>
      </c>
      <c r="H434">
        <v>2023</v>
      </c>
      <c r="I434" t="s">
        <v>549</v>
      </c>
    </row>
    <row r="435" spans="1:9" x14ac:dyDescent="0.3">
      <c r="A435" t="s">
        <v>10154</v>
      </c>
      <c r="B435" t="s">
        <v>46</v>
      </c>
      <c r="C435">
        <v>7648876604</v>
      </c>
      <c r="D435" s="2">
        <v>1</v>
      </c>
      <c r="E435" t="str">
        <f>"4574674200962926"</f>
        <v>4574674200962926</v>
      </c>
      <c r="F435" t="str">
        <f>"977"</f>
        <v>977</v>
      </c>
      <c r="G435">
        <v>1</v>
      </c>
      <c r="H435">
        <v>2023</v>
      </c>
      <c r="I435" t="s">
        <v>550</v>
      </c>
    </row>
    <row r="436" spans="1:9" x14ac:dyDescent="0.3">
      <c r="A436" t="s">
        <v>10154</v>
      </c>
      <c r="B436" t="s">
        <v>46</v>
      </c>
      <c r="C436">
        <v>7648876604</v>
      </c>
      <c r="D436" s="2">
        <v>1</v>
      </c>
      <c r="E436" t="str">
        <f>"4574674200962942"</f>
        <v>4574674200962942</v>
      </c>
      <c r="F436" t="str">
        <f>"030"</f>
        <v>030</v>
      </c>
      <c r="G436">
        <v>1</v>
      </c>
      <c r="H436">
        <v>2023</v>
      </c>
      <c r="I436" t="s">
        <v>551</v>
      </c>
    </row>
    <row r="437" spans="1:9" x14ac:dyDescent="0.3">
      <c r="A437" t="s">
        <v>10154</v>
      </c>
      <c r="B437" t="s">
        <v>46</v>
      </c>
      <c r="C437">
        <v>7648876604</v>
      </c>
      <c r="D437" s="2">
        <v>1</v>
      </c>
      <c r="E437" t="str">
        <f>"4574674200435725"</f>
        <v>4574674200435725</v>
      </c>
      <c r="F437" t="str">
        <f>"600"</f>
        <v>600</v>
      </c>
      <c r="G437">
        <v>1</v>
      </c>
      <c r="H437">
        <v>2023</v>
      </c>
      <c r="I437" t="s">
        <v>552</v>
      </c>
    </row>
    <row r="438" spans="1:9" x14ac:dyDescent="0.3">
      <c r="A438" t="s">
        <v>10154</v>
      </c>
      <c r="B438" t="s">
        <v>46</v>
      </c>
      <c r="C438">
        <v>7648876604</v>
      </c>
      <c r="D438" s="2">
        <v>1</v>
      </c>
      <c r="E438" t="str">
        <f>"4574674200435782"</f>
        <v>4574674200435782</v>
      </c>
      <c r="F438" t="str">
        <f>"896"</f>
        <v>896</v>
      </c>
      <c r="G438">
        <v>1</v>
      </c>
      <c r="H438">
        <v>2023</v>
      </c>
      <c r="I438" t="s">
        <v>553</v>
      </c>
    </row>
    <row r="439" spans="1:9" x14ac:dyDescent="0.3">
      <c r="A439" t="s">
        <v>10154</v>
      </c>
      <c r="B439" t="s">
        <v>46</v>
      </c>
      <c r="C439">
        <v>7648876604</v>
      </c>
      <c r="D439" s="2">
        <v>1</v>
      </c>
      <c r="E439" t="str">
        <f>"4574674200962967"</f>
        <v>4574674200962967</v>
      </c>
      <c r="F439" t="str">
        <f>"588"</f>
        <v>588</v>
      </c>
      <c r="G439">
        <v>1</v>
      </c>
      <c r="H439">
        <v>2023</v>
      </c>
      <c r="I439" t="s">
        <v>554</v>
      </c>
    </row>
    <row r="440" spans="1:9" x14ac:dyDescent="0.3">
      <c r="A440" t="s">
        <v>10154</v>
      </c>
      <c r="B440" t="s">
        <v>46</v>
      </c>
      <c r="C440">
        <v>7648876604</v>
      </c>
      <c r="D440" s="2">
        <v>1</v>
      </c>
      <c r="E440" t="str">
        <f>"4574674200962991"</f>
        <v>4574674200962991</v>
      </c>
      <c r="F440" t="str">
        <f>"461"</f>
        <v>461</v>
      </c>
      <c r="G440">
        <v>1</v>
      </c>
      <c r="H440">
        <v>2023</v>
      </c>
      <c r="I440" t="s">
        <v>555</v>
      </c>
    </row>
    <row r="441" spans="1:9" x14ac:dyDescent="0.3">
      <c r="A441" t="s">
        <v>10154</v>
      </c>
      <c r="B441" t="s">
        <v>46</v>
      </c>
      <c r="C441">
        <v>7648876604</v>
      </c>
      <c r="D441" s="2">
        <v>1</v>
      </c>
      <c r="E441" t="str">
        <f>"4574674200963023"</f>
        <v>4574674200963023</v>
      </c>
      <c r="F441" t="str">
        <f>"991"</f>
        <v>991</v>
      </c>
      <c r="G441">
        <v>1</v>
      </c>
      <c r="H441">
        <v>2023</v>
      </c>
      <c r="I441" t="s">
        <v>556</v>
      </c>
    </row>
    <row r="442" spans="1:9" x14ac:dyDescent="0.3">
      <c r="A442" t="s">
        <v>10155</v>
      </c>
      <c r="B442" t="s">
        <v>47</v>
      </c>
      <c r="C442">
        <v>7648876604</v>
      </c>
      <c r="D442" s="2">
        <v>1</v>
      </c>
      <c r="E442" t="str">
        <f>"4574674200962272"</f>
        <v>4574674200962272</v>
      </c>
      <c r="F442" t="str">
        <f>"116"</f>
        <v>116</v>
      </c>
      <c r="G442">
        <v>1</v>
      </c>
      <c r="H442">
        <v>2023</v>
      </c>
      <c r="I442" t="s">
        <v>557</v>
      </c>
    </row>
    <row r="443" spans="1:9" x14ac:dyDescent="0.3">
      <c r="A443" t="s">
        <v>10155</v>
      </c>
      <c r="B443" t="s">
        <v>47</v>
      </c>
      <c r="C443">
        <v>7648876604</v>
      </c>
      <c r="D443" s="2">
        <v>1</v>
      </c>
      <c r="E443" t="str">
        <f>"4574674200963049"</f>
        <v>4574674200963049</v>
      </c>
      <c r="F443" t="str">
        <f>"127"</f>
        <v>127</v>
      </c>
      <c r="G443">
        <v>1</v>
      </c>
      <c r="H443">
        <v>2023</v>
      </c>
      <c r="I443" t="s">
        <v>558</v>
      </c>
    </row>
    <row r="444" spans="1:9" x14ac:dyDescent="0.3">
      <c r="A444" t="s">
        <v>10155</v>
      </c>
      <c r="B444" t="s">
        <v>47</v>
      </c>
      <c r="C444">
        <v>7648876604</v>
      </c>
      <c r="D444" s="2">
        <v>1</v>
      </c>
      <c r="E444" t="str">
        <f>"4574674200963056"</f>
        <v>4574674200963056</v>
      </c>
      <c r="F444" t="str">
        <f>"291"</f>
        <v>291</v>
      </c>
      <c r="G444">
        <v>1</v>
      </c>
      <c r="H444">
        <v>2023</v>
      </c>
      <c r="I444" t="s">
        <v>559</v>
      </c>
    </row>
    <row r="445" spans="1:9" x14ac:dyDescent="0.3">
      <c r="A445" t="s">
        <v>10155</v>
      </c>
      <c r="B445" t="s">
        <v>47</v>
      </c>
      <c r="C445">
        <v>7648876604</v>
      </c>
      <c r="D445" s="2">
        <v>1</v>
      </c>
      <c r="E445" t="str">
        <f>"4574674200963098"</f>
        <v>4574674200963098</v>
      </c>
      <c r="F445" t="str">
        <f>"845"</f>
        <v>845</v>
      </c>
      <c r="G445">
        <v>1</v>
      </c>
      <c r="H445">
        <v>2023</v>
      </c>
      <c r="I445" t="s">
        <v>560</v>
      </c>
    </row>
    <row r="446" spans="1:9" x14ac:dyDescent="0.3">
      <c r="A446" t="s">
        <v>10155</v>
      </c>
      <c r="B446" t="s">
        <v>47</v>
      </c>
      <c r="C446">
        <v>7648876604</v>
      </c>
      <c r="D446" s="2">
        <v>1</v>
      </c>
      <c r="E446" t="str">
        <f>"4574674200963122"</f>
        <v>4574674200963122</v>
      </c>
      <c r="F446" t="str">
        <f>"917"</f>
        <v>917</v>
      </c>
      <c r="G446">
        <v>1</v>
      </c>
      <c r="H446">
        <v>2023</v>
      </c>
      <c r="I446" t="s">
        <v>561</v>
      </c>
    </row>
    <row r="447" spans="1:9" x14ac:dyDescent="0.3">
      <c r="A447" t="s">
        <v>10155</v>
      </c>
      <c r="B447" t="s">
        <v>47</v>
      </c>
      <c r="C447">
        <v>7648876604</v>
      </c>
      <c r="D447" s="2">
        <v>1</v>
      </c>
      <c r="E447" t="str">
        <f>"4574674200435790"</f>
        <v>4574674200435790</v>
      </c>
      <c r="F447" t="str">
        <f>"085"</f>
        <v>085</v>
      </c>
      <c r="G447">
        <v>1</v>
      </c>
      <c r="H447">
        <v>2023</v>
      </c>
      <c r="I447" t="s">
        <v>562</v>
      </c>
    </row>
    <row r="448" spans="1:9" x14ac:dyDescent="0.3">
      <c r="A448" t="s">
        <v>10155</v>
      </c>
      <c r="B448" t="s">
        <v>47</v>
      </c>
      <c r="C448">
        <v>7648876604</v>
      </c>
      <c r="D448" s="2">
        <v>1</v>
      </c>
      <c r="E448" t="str">
        <f>"4574674200963163"</f>
        <v>4574674200963163</v>
      </c>
      <c r="F448" t="str">
        <f>"439"</f>
        <v>439</v>
      </c>
      <c r="G448">
        <v>1</v>
      </c>
      <c r="H448">
        <v>2023</v>
      </c>
      <c r="I448" t="s">
        <v>563</v>
      </c>
    </row>
    <row r="449" spans="1:9" x14ac:dyDescent="0.3">
      <c r="A449" t="s">
        <v>10155</v>
      </c>
      <c r="B449" t="s">
        <v>47</v>
      </c>
      <c r="C449">
        <v>7648876604</v>
      </c>
      <c r="D449" s="2">
        <v>1</v>
      </c>
      <c r="E449" t="str">
        <f>"4574674200963197"</f>
        <v>4574674200963197</v>
      </c>
      <c r="F449" t="str">
        <f>"803"</f>
        <v>803</v>
      </c>
      <c r="G449">
        <v>1</v>
      </c>
      <c r="H449">
        <v>2023</v>
      </c>
      <c r="I449" t="s">
        <v>564</v>
      </c>
    </row>
    <row r="450" spans="1:9" x14ac:dyDescent="0.3">
      <c r="A450" t="s">
        <v>10155</v>
      </c>
      <c r="B450" t="s">
        <v>47</v>
      </c>
      <c r="C450">
        <v>7648876604</v>
      </c>
      <c r="D450" s="2">
        <v>1</v>
      </c>
      <c r="E450" t="str">
        <f>"4574674200436004"</f>
        <v>4574674200436004</v>
      </c>
      <c r="F450" t="str">
        <f>"661"</f>
        <v>661</v>
      </c>
      <c r="G450">
        <v>1</v>
      </c>
      <c r="H450">
        <v>2023</v>
      </c>
      <c r="I450" t="s">
        <v>565</v>
      </c>
    </row>
    <row r="451" spans="1:9" x14ac:dyDescent="0.3">
      <c r="A451" t="s">
        <v>10155</v>
      </c>
      <c r="B451" t="s">
        <v>47</v>
      </c>
      <c r="C451">
        <v>7648876604</v>
      </c>
      <c r="D451" s="2">
        <v>1</v>
      </c>
      <c r="E451" t="str">
        <f>"4574674200963213"</f>
        <v>4574674200963213</v>
      </c>
      <c r="F451" t="str">
        <f>"075"</f>
        <v>075</v>
      </c>
      <c r="G451">
        <v>1</v>
      </c>
      <c r="H451">
        <v>2023</v>
      </c>
      <c r="I451" t="s">
        <v>566</v>
      </c>
    </row>
    <row r="452" spans="1:9" x14ac:dyDescent="0.3">
      <c r="A452" t="s">
        <v>10156</v>
      </c>
      <c r="B452" t="s">
        <v>48</v>
      </c>
      <c r="C452">
        <v>7648876604</v>
      </c>
      <c r="D452" s="2">
        <v>1</v>
      </c>
      <c r="E452" t="str">
        <f>"4574674200435386"</f>
        <v>4574674200435386</v>
      </c>
      <c r="F452" t="str">
        <f>"526"</f>
        <v>526</v>
      </c>
      <c r="G452">
        <v>1</v>
      </c>
      <c r="H452">
        <v>2023</v>
      </c>
      <c r="I452" t="s">
        <v>567</v>
      </c>
    </row>
    <row r="453" spans="1:9" x14ac:dyDescent="0.3">
      <c r="A453" t="s">
        <v>10156</v>
      </c>
      <c r="B453" t="s">
        <v>48</v>
      </c>
      <c r="C453">
        <v>7648876604</v>
      </c>
      <c r="D453" s="2">
        <v>1</v>
      </c>
      <c r="E453" t="str">
        <f>"4574674200963239"</f>
        <v>4574674200963239</v>
      </c>
      <c r="F453" t="str">
        <f>"417"</f>
        <v>417</v>
      </c>
      <c r="G453">
        <v>1</v>
      </c>
      <c r="H453">
        <v>2023</v>
      </c>
      <c r="I453" t="s">
        <v>568</v>
      </c>
    </row>
    <row r="454" spans="1:9" x14ac:dyDescent="0.3">
      <c r="A454" t="s">
        <v>10156</v>
      </c>
      <c r="B454" t="s">
        <v>48</v>
      </c>
      <c r="C454">
        <v>7648876604</v>
      </c>
      <c r="D454" s="2">
        <v>1</v>
      </c>
      <c r="E454" t="str">
        <f>"4574674200963288"</f>
        <v>4574674200963288</v>
      </c>
      <c r="F454" t="str">
        <f>"071"</f>
        <v>071</v>
      </c>
      <c r="G454">
        <v>1</v>
      </c>
      <c r="H454">
        <v>2023</v>
      </c>
      <c r="I454" t="s">
        <v>569</v>
      </c>
    </row>
    <row r="455" spans="1:9" x14ac:dyDescent="0.3">
      <c r="A455" t="s">
        <v>10156</v>
      </c>
      <c r="B455" t="s">
        <v>48</v>
      </c>
      <c r="C455">
        <v>7648876604</v>
      </c>
      <c r="D455" s="2">
        <v>1</v>
      </c>
      <c r="E455" t="str">
        <f>"4574674200435808"</f>
        <v>4574674200435808</v>
      </c>
      <c r="F455" t="str">
        <f>"691"</f>
        <v>691</v>
      </c>
      <c r="G455">
        <v>1</v>
      </c>
      <c r="H455">
        <v>2023</v>
      </c>
      <c r="I455" t="s">
        <v>570</v>
      </c>
    </row>
    <row r="456" spans="1:9" x14ac:dyDescent="0.3">
      <c r="A456" t="s">
        <v>10156</v>
      </c>
      <c r="B456" t="s">
        <v>48</v>
      </c>
      <c r="C456">
        <v>7648876604</v>
      </c>
      <c r="D456" s="2">
        <v>1</v>
      </c>
      <c r="E456" t="str">
        <f>"4574674200963296"</f>
        <v>4574674200963296</v>
      </c>
      <c r="F456" t="str">
        <f>"781"</f>
        <v>781</v>
      </c>
      <c r="G456">
        <v>1</v>
      </c>
      <c r="H456">
        <v>2023</v>
      </c>
      <c r="I456" t="s">
        <v>571</v>
      </c>
    </row>
    <row r="457" spans="1:9" x14ac:dyDescent="0.3">
      <c r="A457" t="s">
        <v>10156</v>
      </c>
      <c r="B457" t="s">
        <v>48</v>
      </c>
      <c r="C457">
        <v>7648876604</v>
      </c>
      <c r="D457" s="2">
        <v>1</v>
      </c>
      <c r="E457" t="str">
        <f>"4574674200963346"</f>
        <v>4574674200963346</v>
      </c>
      <c r="F457" t="str">
        <f>"460"</f>
        <v>460</v>
      </c>
      <c r="G457">
        <v>1</v>
      </c>
      <c r="H457">
        <v>2023</v>
      </c>
      <c r="I457" t="s">
        <v>572</v>
      </c>
    </row>
    <row r="458" spans="1:9" x14ac:dyDescent="0.3">
      <c r="A458" t="s">
        <v>10156</v>
      </c>
      <c r="B458" t="s">
        <v>48</v>
      </c>
      <c r="C458">
        <v>7648876604</v>
      </c>
      <c r="D458" s="2">
        <v>1</v>
      </c>
      <c r="E458" t="str">
        <f>"4574674200435857"</f>
        <v>4574674200435857</v>
      </c>
      <c r="F458" t="str">
        <f>"951"</f>
        <v>951</v>
      </c>
      <c r="G458">
        <v>1</v>
      </c>
      <c r="H458">
        <v>2023</v>
      </c>
      <c r="I458" t="s">
        <v>573</v>
      </c>
    </row>
    <row r="459" spans="1:9" x14ac:dyDescent="0.3">
      <c r="A459" t="s">
        <v>10156</v>
      </c>
      <c r="B459" t="s">
        <v>48</v>
      </c>
      <c r="C459">
        <v>7648876604</v>
      </c>
      <c r="D459" s="2">
        <v>1</v>
      </c>
      <c r="E459" t="str">
        <f>"4574674200436103"</f>
        <v>4574674200436103</v>
      </c>
      <c r="F459" t="str">
        <f>"806"</f>
        <v>806</v>
      </c>
      <c r="G459">
        <v>1</v>
      </c>
      <c r="H459">
        <v>2023</v>
      </c>
      <c r="I459" t="s">
        <v>574</v>
      </c>
    </row>
    <row r="460" spans="1:9" x14ac:dyDescent="0.3">
      <c r="A460" t="s">
        <v>10156</v>
      </c>
      <c r="B460" t="s">
        <v>48</v>
      </c>
      <c r="C460">
        <v>7648876604</v>
      </c>
      <c r="D460" s="2">
        <v>1</v>
      </c>
      <c r="E460" t="str">
        <f>"4574674200962306"</f>
        <v>4574674200962306</v>
      </c>
      <c r="F460" t="str">
        <f>"512"</f>
        <v>512</v>
      </c>
      <c r="G460">
        <v>1</v>
      </c>
      <c r="H460">
        <v>2023</v>
      </c>
      <c r="I460" t="s">
        <v>575</v>
      </c>
    </row>
    <row r="461" spans="1:9" x14ac:dyDescent="0.3">
      <c r="A461" t="s">
        <v>10156</v>
      </c>
      <c r="B461" t="s">
        <v>48</v>
      </c>
      <c r="C461">
        <v>7648876604</v>
      </c>
      <c r="D461" s="2">
        <v>1</v>
      </c>
      <c r="E461" t="str">
        <f>"4574674200436129"</f>
        <v>4574674200436129</v>
      </c>
      <c r="F461" t="str">
        <f>"236"</f>
        <v>236</v>
      </c>
      <c r="G461">
        <v>1</v>
      </c>
      <c r="H461">
        <v>2023</v>
      </c>
      <c r="I461" t="s">
        <v>576</v>
      </c>
    </row>
    <row r="462" spans="1:9" x14ac:dyDescent="0.3">
      <c r="A462" t="s">
        <v>10139</v>
      </c>
      <c r="B462" t="s">
        <v>31</v>
      </c>
      <c r="C462">
        <v>7648876604</v>
      </c>
      <c r="D462" s="2">
        <v>1</v>
      </c>
      <c r="E462" t="str">
        <f>"4574674200436152"</f>
        <v>4574674200436152</v>
      </c>
      <c r="F462" t="str">
        <f>"895"</f>
        <v>895</v>
      </c>
      <c r="G462">
        <v>1</v>
      </c>
      <c r="H462">
        <v>2023</v>
      </c>
      <c r="I462" t="s">
        <v>577</v>
      </c>
    </row>
    <row r="463" spans="1:9" x14ac:dyDescent="0.3">
      <c r="A463" t="s">
        <v>10139</v>
      </c>
      <c r="B463" t="s">
        <v>31</v>
      </c>
      <c r="C463">
        <v>7648876604</v>
      </c>
      <c r="D463" s="2">
        <v>1</v>
      </c>
      <c r="E463" t="str">
        <f>"4574674200963379"</f>
        <v>4574674200963379</v>
      </c>
      <c r="F463" t="str">
        <f>"216"</f>
        <v>216</v>
      </c>
      <c r="G463">
        <v>1</v>
      </c>
      <c r="H463">
        <v>2023</v>
      </c>
      <c r="I463" t="s">
        <v>578</v>
      </c>
    </row>
    <row r="464" spans="1:9" x14ac:dyDescent="0.3">
      <c r="A464" t="s">
        <v>10139</v>
      </c>
      <c r="B464" t="s">
        <v>31</v>
      </c>
      <c r="C464">
        <v>7648876604</v>
      </c>
      <c r="D464" s="2">
        <v>1</v>
      </c>
      <c r="E464" t="str">
        <f>"4574674200436210"</f>
        <v>4574674200436210</v>
      </c>
      <c r="F464" t="str">
        <f>"468"</f>
        <v>468</v>
      </c>
      <c r="G464">
        <v>1</v>
      </c>
      <c r="H464">
        <v>2023</v>
      </c>
      <c r="I464" t="s">
        <v>579</v>
      </c>
    </row>
    <row r="465" spans="1:9" x14ac:dyDescent="0.3">
      <c r="A465" t="s">
        <v>10139</v>
      </c>
      <c r="B465" t="s">
        <v>31</v>
      </c>
      <c r="C465">
        <v>7648876604</v>
      </c>
      <c r="D465" s="2">
        <v>1</v>
      </c>
      <c r="E465" t="str">
        <f>"4574674200436277"</f>
        <v>4574674200436277</v>
      </c>
      <c r="F465" t="str">
        <f>"312"</f>
        <v>312</v>
      </c>
      <c r="G465">
        <v>1</v>
      </c>
      <c r="H465">
        <v>2023</v>
      </c>
      <c r="I465" t="s">
        <v>580</v>
      </c>
    </row>
    <row r="466" spans="1:9" x14ac:dyDescent="0.3">
      <c r="A466" t="s">
        <v>10139</v>
      </c>
      <c r="B466" t="s">
        <v>31</v>
      </c>
      <c r="C466">
        <v>7648876604</v>
      </c>
      <c r="D466" s="2">
        <v>1</v>
      </c>
      <c r="E466" t="str">
        <f>"4574674200963403"</f>
        <v>4574674200963403</v>
      </c>
      <c r="F466" t="str">
        <f>"239"</f>
        <v>239</v>
      </c>
      <c r="G466">
        <v>1</v>
      </c>
      <c r="H466">
        <v>2023</v>
      </c>
      <c r="I466" t="s">
        <v>581</v>
      </c>
    </row>
    <row r="467" spans="1:9" x14ac:dyDescent="0.3">
      <c r="A467" t="s">
        <v>10139</v>
      </c>
      <c r="B467" t="s">
        <v>31</v>
      </c>
      <c r="C467">
        <v>7648876604</v>
      </c>
      <c r="D467" s="2">
        <v>1</v>
      </c>
      <c r="E467" t="str">
        <f>"4574674200963411"</f>
        <v>4574674200963411</v>
      </c>
      <c r="F467" t="str">
        <f>"696"</f>
        <v>696</v>
      </c>
      <c r="G467">
        <v>1</v>
      </c>
      <c r="H467">
        <v>2023</v>
      </c>
      <c r="I467" t="s">
        <v>582</v>
      </c>
    </row>
    <row r="468" spans="1:9" x14ac:dyDescent="0.3">
      <c r="A468" t="s">
        <v>10139</v>
      </c>
      <c r="B468" t="s">
        <v>31</v>
      </c>
      <c r="C468">
        <v>7648876604</v>
      </c>
      <c r="D468" s="2">
        <v>1</v>
      </c>
      <c r="E468" t="str">
        <f>"4574674200436269"</f>
        <v>4574674200436269</v>
      </c>
      <c r="F468" t="str">
        <f>"564"</f>
        <v>564</v>
      </c>
      <c r="G468">
        <v>1</v>
      </c>
      <c r="H468">
        <v>2023</v>
      </c>
      <c r="I468" t="s">
        <v>583</v>
      </c>
    </row>
    <row r="469" spans="1:9" x14ac:dyDescent="0.3">
      <c r="A469" t="s">
        <v>10139</v>
      </c>
      <c r="B469" t="s">
        <v>31</v>
      </c>
      <c r="C469">
        <v>7648876604</v>
      </c>
      <c r="D469" s="2">
        <v>1</v>
      </c>
      <c r="E469" t="str">
        <f>"4574674200963478"</f>
        <v>4574674200963478</v>
      </c>
      <c r="F469" t="str">
        <f>"230"</f>
        <v>230</v>
      </c>
      <c r="G469">
        <v>1</v>
      </c>
      <c r="H469">
        <v>2023</v>
      </c>
      <c r="I469" t="s">
        <v>584</v>
      </c>
    </row>
    <row r="470" spans="1:9" x14ac:dyDescent="0.3">
      <c r="A470" t="s">
        <v>10139</v>
      </c>
      <c r="B470" t="s">
        <v>31</v>
      </c>
      <c r="C470">
        <v>7648876604</v>
      </c>
      <c r="D470" s="2">
        <v>1</v>
      </c>
      <c r="E470" t="str">
        <f>"4574674200963486"</f>
        <v>4574674200963486</v>
      </c>
      <c r="F470" t="str">
        <f>"861"</f>
        <v>861</v>
      </c>
      <c r="G470">
        <v>1</v>
      </c>
      <c r="H470">
        <v>2023</v>
      </c>
      <c r="I470" t="s">
        <v>585</v>
      </c>
    </row>
    <row r="471" spans="1:9" x14ac:dyDescent="0.3">
      <c r="A471" t="s">
        <v>10139</v>
      </c>
      <c r="B471" t="s">
        <v>31</v>
      </c>
      <c r="C471">
        <v>7648876604</v>
      </c>
      <c r="D471" s="2">
        <v>1</v>
      </c>
      <c r="E471" t="str">
        <f>"4574674200963502"</f>
        <v>4574674200963502</v>
      </c>
      <c r="F471" t="str">
        <f>"226"</f>
        <v>226</v>
      </c>
      <c r="G471">
        <v>1</v>
      </c>
      <c r="H471">
        <v>2023</v>
      </c>
      <c r="I471" t="s">
        <v>586</v>
      </c>
    </row>
    <row r="472" spans="1:9" x14ac:dyDescent="0.3">
      <c r="A472" t="s">
        <v>10138</v>
      </c>
      <c r="B472" t="s">
        <v>30</v>
      </c>
      <c r="C472">
        <v>7648876604</v>
      </c>
      <c r="D472" s="2">
        <v>1</v>
      </c>
      <c r="E472" t="str">
        <f>"4574674200436251"</f>
        <v>4574674200436251</v>
      </c>
      <c r="F472" t="str">
        <f>"664"</f>
        <v>664</v>
      </c>
      <c r="G472">
        <v>1</v>
      </c>
      <c r="H472">
        <v>2023</v>
      </c>
      <c r="I472" t="s">
        <v>587</v>
      </c>
    </row>
    <row r="473" spans="1:9" x14ac:dyDescent="0.3">
      <c r="A473" t="s">
        <v>10138</v>
      </c>
      <c r="B473" t="s">
        <v>30</v>
      </c>
      <c r="C473">
        <v>7648876604</v>
      </c>
      <c r="D473" s="2">
        <v>1</v>
      </c>
      <c r="E473" t="str">
        <f>"4574674200963536"</f>
        <v>4574674200963536</v>
      </c>
      <c r="F473" t="str">
        <f>"680"</f>
        <v>680</v>
      </c>
      <c r="G473">
        <v>1</v>
      </c>
      <c r="H473">
        <v>2023</v>
      </c>
      <c r="I473" t="s">
        <v>588</v>
      </c>
    </row>
    <row r="474" spans="1:9" x14ac:dyDescent="0.3">
      <c r="A474" t="s">
        <v>10138</v>
      </c>
      <c r="B474" t="s">
        <v>30</v>
      </c>
      <c r="C474">
        <v>7648876604</v>
      </c>
      <c r="D474" s="2">
        <v>1</v>
      </c>
      <c r="E474" t="str">
        <f>"4574674200963544"</f>
        <v>4574674200963544</v>
      </c>
      <c r="F474" t="str">
        <f>"624"</f>
        <v>624</v>
      </c>
      <c r="G474">
        <v>1</v>
      </c>
      <c r="H474">
        <v>2023</v>
      </c>
      <c r="I474" t="s">
        <v>589</v>
      </c>
    </row>
    <row r="475" spans="1:9" x14ac:dyDescent="0.3">
      <c r="A475" t="s">
        <v>10138</v>
      </c>
      <c r="B475" t="s">
        <v>30</v>
      </c>
      <c r="C475">
        <v>7648876604</v>
      </c>
      <c r="D475" s="2">
        <v>1</v>
      </c>
      <c r="E475" t="str">
        <f>"4574674200435923"</f>
        <v>4574674200435923</v>
      </c>
      <c r="F475" t="str">
        <f>"403"</f>
        <v>403</v>
      </c>
      <c r="G475">
        <v>1</v>
      </c>
      <c r="H475">
        <v>2023</v>
      </c>
      <c r="I475" t="s">
        <v>590</v>
      </c>
    </row>
    <row r="476" spans="1:9" x14ac:dyDescent="0.3">
      <c r="A476" t="s">
        <v>10138</v>
      </c>
      <c r="B476" t="s">
        <v>30</v>
      </c>
      <c r="C476">
        <v>7648876604</v>
      </c>
      <c r="D476" s="2">
        <v>1</v>
      </c>
      <c r="E476" t="str">
        <f>"4574674200963569"</f>
        <v>4574674200963569</v>
      </c>
      <c r="F476" t="str">
        <f>"463"</f>
        <v>463</v>
      </c>
      <c r="G476">
        <v>1</v>
      </c>
      <c r="H476">
        <v>2023</v>
      </c>
      <c r="I476" t="s">
        <v>591</v>
      </c>
    </row>
    <row r="477" spans="1:9" x14ac:dyDescent="0.3">
      <c r="A477" t="s">
        <v>10138</v>
      </c>
      <c r="B477" t="s">
        <v>30</v>
      </c>
      <c r="C477">
        <v>7648876604</v>
      </c>
      <c r="D477" s="2">
        <v>1</v>
      </c>
      <c r="E477" t="str">
        <f>"4574674200963643"</f>
        <v>4574674200963643</v>
      </c>
      <c r="F477" t="str">
        <f>"096"</f>
        <v>096</v>
      </c>
      <c r="G477">
        <v>1</v>
      </c>
      <c r="H477">
        <v>2023</v>
      </c>
      <c r="I477" t="s">
        <v>592</v>
      </c>
    </row>
    <row r="478" spans="1:9" x14ac:dyDescent="0.3">
      <c r="A478" t="s">
        <v>10138</v>
      </c>
      <c r="B478" t="s">
        <v>30</v>
      </c>
      <c r="C478">
        <v>7648876604</v>
      </c>
      <c r="D478" s="2">
        <v>1</v>
      </c>
      <c r="E478" t="str">
        <f>"4574674200435964"</f>
        <v>4574674200435964</v>
      </c>
      <c r="F478" t="str">
        <f>"242"</f>
        <v>242</v>
      </c>
      <c r="G478">
        <v>1</v>
      </c>
      <c r="H478">
        <v>2023</v>
      </c>
      <c r="I478" t="s">
        <v>593</v>
      </c>
    </row>
    <row r="479" spans="1:9" x14ac:dyDescent="0.3">
      <c r="A479" t="s">
        <v>10138</v>
      </c>
      <c r="B479" t="s">
        <v>30</v>
      </c>
      <c r="C479">
        <v>7648876604</v>
      </c>
      <c r="D479" s="2">
        <v>1</v>
      </c>
      <c r="E479" t="str">
        <f>"4574674200963650"</f>
        <v>4574674200963650</v>
      </c>
      <c r="F479" t="str">
        <f>"501"</f>
        <v>501</v>
      </c>
      <c r="G479">
        <v>1</v>
      </c>
      <c r="H479">
        <v>2023</v>
      </c>
      <c r="I479" t="s">
        <v>594</v>
      </c>
    </row>
    <row r="480" spans="1:9" x14ac:dyDescent="0.3">
      <c r="A480" t="s">
        <v>10138</v>
      </c>
      <c r="B480" t="s">
        <v>30</v>
      </c>
      <c r="C480">
        <v>7648876604</v>
      </c>
      <c r="D480" s="2">
        <v>1</v>
      </c>
      <c r="E480" t="str">
        <f>"4574674200963684"</f>
        <v>4574674200963684</v>
      </c>
      <c r="F480" t="str">
        <f>"208"</f>
        <v>208</v>
      </c>
      <c r="G480">
        <v>1</v>
      </c>
      <c r="H480">
        <v>2023</v>
      </c>
      <c r="I480" t="s">
        <v>595</v>
      </c>
    </row>
    <row r="481" spans="1:9" x14ac:dyDescent="0.3">
      <c r="A481" t="s">
        <v>10138</v>
      </c>
      <c r="B481" t="s">
        <v>30</v>
      </c>
      <c r="C481">
        <v>7648876604</v>
      </c>
      <c r="D481" s="2">
        <v>1</v>
      </c>
      <c r="E481" t="str">
        <f>"4574674200963692"</f>
        <v>4574674200963692</v>
      </c>
      <c r="F481" t="str">
        <f>"172"</f>
        <v>172</v>
      </c>
      <c r="G481">
        <v>1</v>
      </c>
      <c r="H481">
        <v>2023</v>
      </c>
      <c r="I481" t="s">
        <v>596</v>
      </c>
    </row>
    <row r="482" spans="1:9" x14ac:dyDescent="0.3">
      <c r="A482" t="s">
        <v>10157</v>
      </c>
      <c r="B482" t="s">
        <v>49</v>
      </c>
      <c r="C482">
        <v>7648876604</v>
      </c>
      <c r="D482" s="2">
        <v>1</v>
      </c>
      <c r="E482" t="str">
        <f>"4574674200963700"</f>
        <v>4574674200963700</v>
      </c>
      <c r="F482" t="str">
        <f>"354"</f>
        <v>354</v>
      </c>
      <c r="G482">
        <v>1</v>
      </c>
      <c r="H482">
        <v>2023</v>
      </c>
      <c r="I482" t="s">
        <v>597</v>
      </c>
    </row>
    <row r="483" spans="1:9" x14ac:dyDescent="0.3">
      <c r="A483" t="s">
        <v>10157</v>
      </c>
      <c r="B483" t="s">
        <v>49</v>
      </c>
      <c r="C483">
        <v>7648876604</v>
      </c>
      <c r="D483" s="2">
        <v>1</v>
      </c>
      <c r="E483" t="str">
        <f>"4574674200962355"</f>
        <v>4574674200962355</v>
      </c>
      <c r="F483" t="str">
        <f>"622"</f>
        <v>622</v>
      </c>
      <c r="G483">
        <v>1</v>
      </c>
      <c r="H483">
        <v>2023</v>
      </c>
      <c r="I483" t="s">
        <v>598</v>
      </c>
    </row>
    <row r="484" spans="1:9" x14ac:dyDescent="0.3">
      <c r="A484" t="s">
        <v>10157</v>
      </c>
      <c r="B484" t="s">
        <v>49</v>
      </c>
      <c r="C484">
        <v>7648876604</v>
      </c>
      <c r="D484" s="2">
        <v>1</v>
      </c>
      <c r="E484" t="str">
        <f>"4574674200435972"</f>
        <v>4574674200435972</v>
      </c>
      <c r="F484" t="str">
        <f>"896"</f>
        <v>896</v>
      </c>
      <c r="G484">
        <v>1</v>
      </c>
      <c r="H484">
        <v>2023</v>
      </c>
      <c r="I484" t="s">
        <v>599</v>
      </c>
    </row>
    <row r="485" spans="1:9" x14ac:dyDescent="0.3">
      <c r="A485" t="s">
        <v>10157</v>
      </c>
      <c r="B485" t="s">
        <v>49</v>
      </c>
      <c r="C485">
        <v>7648876604</v>
      </c>
      <c r="D485" s="2">
        <v>1</v>
      </c>
      <c r="E485" t="str">
        <f>"4574674200963726"</f>
        <v>4574674200963726</v>
      </c>
      <c r="F485" t="str">
        <f>"553"</f>
        <v>553</v>
      </c>
      <c r="G485">
        <v>1</v>
      </c>
      <c r="H485">
        <v>2023</v>
      </c>
      <c r="I485" t="s">
        <v>600</v>
      </c>
    </row>
    <row r="486" spans="1:9" x14ac:dyDescent="0.3">
      <c r="A486" t="s">
        <v>10157</v>
      </c>
      <c r="B486" t="s">
        <v>49</v>
      </c>
      <c r="C486">
        <v>7648876604</v>
      </c>
      <c r="D486" s="2">
        <v>1</v>
      </c>
      <c r="E486" t="str">
        <f>"4574674200963817"</f>
        <v>4574674200963817</v>
      </c>
      <c r="F486" t="str">
        <f>"247"</f>
        <v>247</v>
      </c>
      <c r="G486">
        <v>1</v>
      </c>
      <c r="H486">
        <v>2023</v>
      </c>
      <c r="I486" t="s">
        <v>601</v>
      </c>
    </row>
    <row r="487" spans="1:9" x14ac:dyDescent="0.3">
      <c r="A487" t="s">
        <v>10157</v>
      </c>
      <c r="B487" t="s">
        <v>49</v>
      </c>
      <c r="C487">
        <v>7648876604</v>
      </c>
      <c r="D487" s="2">
        <v>1</v>
      </c>
      <c r="E487" t="str">
        <f>"4574674200435980"</f>
        <v>4574674200435980</v>
      </c>
      <c r="F487" t="str">
        <f>"395"</f>
        <v>395</v>
      </c>
      <c r="G487">
        <v>1</v>
      </c>
      <c r="H487">
        <v>2023</v>
      </c>
      <c r="I487" t="s">
        <v>602</v>
      </c>
    </row>
    <row r="488" spans="1:9" x14ac:dyDescent="0.3">
      <c r="A488" t="s">
        <v>10157</v>
      </c>
      <c r="B488" t="s">
        <v>49</v>
      </c>
      <c r="C488">
        <v>7648876604</v>
      </c>
      <c r="D488" s="2">
        <v>1</v>
      </c>
      <c r="E488" t="str">
        <f>"4574674200963825"</f>
        <v>4574674200963825</v>
      </c>
      <c r="F488" t="str">
        <f>"123"</f>
        <v>123</v>
      </c>
      <c r="G488">
        <v>1</v>
      </c>
      <c r="H488">
        <v>2023</v>
      </c>
      <c r="I488" t="s">
        <v>603</v>
      </c>
    </row>
    <row r="489" spans="1:9" x14ac:dyDescent="0.3">
      <c r="A489" t="s">
        <v>10157</v>
      </c>
      <c r="B489" t="s">
        <v>49</v>
      </c>
      <c r="C489">
        <v>7648876604</v>
      </c>
      <c r="D489" s="2">
        <v>1</v>
      </c>
      <c r="E489" t="str">
        <f>"4574674200436608"</f>
        <v>4574674200436608</v>
      </c>
      <c r="F489" t="str">
        <f>"822"</f>
        <v>822</v>
      </c>
      <c r="G489">
        <v>1</v>
      </c>
      <c r="H489">
        <v>2023</v>
      </c>
      <c r="I489" t="s">
        <v>604</v>
      </c>
    </row>
    <row r="490" spans="1:9" x14ac:dyDescent="0.3">
      <c r="A490" t="s">
        <v>10157</v>
      </c>
      <c r="B490" t="s">
        <v>49</v>
      </c>
      <c r="C490">
        <v>7648876604</v>
      </c>
      <c r="D490" s="2">
        <v>1</v>
      </c>
      <c r="E490" t="str">
        <f>"4574674200963858"</f>
        <v>4574674200963858</v>
      </c>
      <c r="F490" t="str">
        <f>"688"</f>
        <v>688</v>
      </c>
      <c r="G490">
        <v>1</v>
      </c>
      <c r="H490">
        <v>2023</v>
      </c>
      <c r="I490" t="s">
        <v>605</v>
      </c>
    </row>
    <row r="491" spans="1:9" x14ac:dyDescent="0.3">
      <c r="A491" t="s">
        <v>10157</v>
      </c>
      <c r="B491" t="s">
        <v>49</v>
      </c>
      <c r="C491">
        <v>7648876604</v>
      </c>
      <c r="D491" s="2">
        <v>1</v>
      </c>
      <c r="E491" t="str">
        <f>"4574674200963866"</f>
        <v>4574674200963866</v>
      </c>
      <c r="F491" t="str">
        <f>"979"</f>
        <v>979</v>
      </c>
      <c r="G491">
        <v>1</v>
      </c>
      <c r="H491">
        <v>2023</v>
      </c>
      <c r="I491" t="s">
        <v>606</v>
      </c>
    </row>
    <row r="492" spans="1:9" x14ac:dyDescent="0.3">
      <c r="A492" t="s">
        <v>10158</v>
      </c>
      <c r="B492" t="s">
        <v>50</v>
      </c>
      <c r="C492">
        <v>7648876604</v>
      </c>
      <c r="D492" s="2">
        <v>1</v>
      </c>
      <c r="E492" t="str">
        <f>"4574674200436392"</f>
        <v>4574674200436392</v>
      </c>
      <c r="F492" t="str">
        <f>"515"</f>
        <v>515</v>
      </c>
      <c r="G492">
        <v>1</v>
      </c>
      <c r="H492">
        <v>2023</v>
      </c>
      <c r="I492" t="s">
        <v>607</v>
      </c>
    </row>
    <row r="493" spans="1:9" x14ac:dyDescent="0.3">
      <c r="A493" t="s">
        <v>10158</v>
      </c>
      <c r="B493" t="s">
        <v>50</v>
      </c>
      <c r="C493">
        <v>7648876604</v>
      </c>
      <c r="D493" s="2">
        <v>1</v>
      </c>
      <c r="E493" t="str">
        <f>"4574674200963882"</f>
        <v>4574674200963882</v>
      </c>
      <c r="F493" t="str">
        <f>"473"</f>
        <v>473</v>
      </c>
      <c r="G493">
        <v>1</v>
      </c>
      <c r="H493">
        <v>2023</v>
      </c>
      <c r="I493" t="s">
        <v>608</v>
      </c>
    </row>
    <row r="494" spans="1:9" x14ac:dyDescent="0.3">
      <c r="A494" t="s">
        <v>10158</v>
      </c>
      <c r="B494" t="s">
        <v>50</v>
      </c>
      <c r="C494">
        <v>7648876604</v>
      </c>
      <c r="D494" s="2">
        <v>1</v>
      </c>
      <c r="E494" t="str">
        <f>"4574674200436632"</f>
        <v>4574674200436632</v>
      </c>
      <c r="F494" t="str">
        <f>"922"</f>
        <v>922</v>
      </c>
      <c r="G494">
        <v>1</v>
      </c>
      <c r="H494">
        <v>2023</v>
      </c>
      <c r="I494" t="s">
        <v>609</v>
      </c>
    </row>
    <row r="495" spans="1:9" x14ac:dyDescent="0.3">
      <c r="A495" t="s">
        <v>10158</v>
      </c>
      <c r="B495" t="s">
        <v>50</v>
      </c>
      <c r="C495">
        <v>7648876604</v>
      </c>
      <c r="D495" s="2">
        <v>1</v>
      </c>
      <c r="E495" t="str">
        <f>"4574674200963916"</f>
        <v>4574674200963916</v>
      </c>
      <c r="F495" t="str">
        <f>"960"</f>
        <v>960</v>
      </c>
      <c r="G495">
        <v>1</v>
      </c>
      <c r="H495">
        <v>2023</v>
      </c>
      <c r="I495" t="s">
        <v>610</v>
      </c>
    </row>
    <row r="496" spans="1:9" x14ac:dyDescent="0.3">
      <c r="A496" t="s">
        <v>10158</v>
      </c>
      <c r="B496" t="s">
        <v>50</v>
      </c>
      <c r="C496">
        <v>7648876604</v>
      </c>
      <c r="D496" s="2">
        <v>1</v>
      </c>
      <c r="E496" t="str">
        <f>"4574674200963973"</f>
        <v>4574674200963973</v>
      </c>
      <c r="F496" t="str">
        <f>"294"</f>
        <v>294</v>
      </c>
      <c r="G496">
        <v>1</v>
      </c>
      <c r="H496">
        <v>2023</v>
      </c>
      <c r="I496" t="s">
        <v>611</v>
      </c>
    </row>
    <row r="497" spans="1:9" x14ac:dyDescent="0.3">
      <c r="A497" t="s">
        <v>10158</v>
      </c>
      <c r="B497" t="s">
        <v>50</v>
      </c>
      <c r="C497">
        <v>7648876604</v>
      </c>
      <c r="D497" s="2">
        <v>1</v>
      </c>
      <c r="E497" t="str">
        <f>"4574674200436434"</f>
        <v>4574674200436434</v>
      </c>
      <c r="F497" t="str">
        <f>"377"</f>
        <v>377</v>
      </c>
      <c r="G497">
        <v>1</v>
      </c>
      <c r="H497">
        <v>2023</v>
      </c>
      <c r="I497" t="s">
        <v>612</v>
      </c>
    </row>
    <row r="498" spans="1:9" x14ac:dyDescent="0.3">
      <c r="A498" t="s">
        <v>10158</v>
      </c>
      <c r="B498" t="s">
        <v>50</v>
      </c>
      <c r="C498">
        <v>7648876604</v>
      </c>
      <c r="D498" s="2">
        <v>1</v>
      </c>
      <c r="E498" t="str">
        <f>"4574674200963981"</f>
        <v>4574674200963981</v>
      </c>
      <c r="F498" t="str">
        <f>"441"</f>
        <v>441</v>
      </c>
      <c r="G498">
        <v>1</v>
      </c>
      <c r="H498">
        <v>2023</v>
      </c>
      <c r="I498" t="s">
        <v>613</v>
      </c>
    </row>
    <row r="499" spans="1:9" x14ac:dyDescent="0.3">
      <c r="A499" t="s">
        <v>10158</v>
      </c>
      <c r="B499" t="s">
        <v>50</v>
      </c>
      <c r="C499">
        <v>7648876604</v>
      </c>
      <c r="D499" s="2">
        <v>1</v>
      </c>
      <c r="E499" t="str">
        <f>"4574674200436467"</f>
        <v>4574674200436467</v>
      </c>
      <c r="F499" t="str">
        <f>"930"</f>
        <v>930</v>
      </c>
      <c r="G499">
        <v>1</v>
      </c>
      <c r="H499">
        <v>2023</v>
      </c>
      <c r="I499" t="s">
        <v>614</v>
      </c>
    </row>
    <row r="500" spans="1:9" x14ac:dyDescent="0.3">
      <c r="A500" t="s">
        <v>10158</v>
      </c>
      <c r="B500" t="s">
        <v>50</v>
      </c>
      <c r="C500">
        <v>7648876604</v>
      </c>
      <c r="D500" s="2">
        <v>1</v>
      </c>
      <c r="E500" t="str">
        <f>"4574674200962389"</f>
        <v>4574674200962389</v>
      </c>
      <c r="F500" t="str">
        <f>"933"</f>
        <v>933</v>
      </c>
      <c r="G500">
        <v>1</v>
      </c>
      <c r="H500">
        <v>2023</v>
      </c>
      <c r="I500" t="s">
        <v>615</v>
      </c>
    </row>
    <row r="501" spans="1:9" x14ac:dyDescent="0.3">
      <c r="A501" t="s">
        <v>10158</v>
      </c>
      <c r="B501" t="s">
        <v>50</v>
      </c>
      <c r="C501">
        <v>7648876604</v>
      </c>
      <c r="D501" s="2">
        <v>1</v>
      </c>
      <c r="E501" t="str">
        <f>"4574674200964021"</f>
        <v>4574674200964021</v>
      </c>
      <c r="F501" t="str">
        <f>"651"</f>
        <v>651</v>
      </c>
      <c r="G501">
        <v>1</v>
      </c>
      <c r="H501">
        <v>2023</v>
      </c>
      <c r="I501" t="s">
        <v>616</v>
      </c>
    </row>
    <row r="502" spans="1:9" x14ac:dyDescent="0.3">
      <c r="A502" t="s">
        <v>10159</v>
      </c>
      <c r="B502" t="s">
        <v>51</v>
      </c>
      <c r="C502">
        <v>7648876604</v>
      </c>
      <c r="D502" s="2">
        <v>1</v>
      </c>
      <c r="E502" t="str">
        <f>"4574674200436491"</f>
        <v>4574674200436491</v>
      </c>
      <c r="F502" t="str">
        <f>"770"</f>
        <v>770</v>
      </c>
      <c r="G502">
        <v>1</v>
      </c>
      <c r="H502">
        <v>2023</v>
      </c>
      <c r="I502" t="s">
        <v>617</v>
      </c>
    </row>
    <row r="503" spans="1:9" x14ac:dyDescent="0.3">
      <c r="A503" t="s">
        <v>10159</v>
      </c>
      <c r="B503" t="s">
        <v>51</v>
      </c>
      <c r="C503">
        <v>7648876604</v>
      </c>
      <c r="D503" s="2">
        <v>1</v>
      </c>
      <c r="E503" t="str">
        <f>"4574674200964054"</f>
        <v>4574674200964054</v>
      </c>
      <c r="F503" t="str">
        <f>"149"</f>
        <v>149</v>
      </c>
      <c r="G503">
        <v>1</v>
      </c>
      <c r="H503">
        <v>2023</v>
      </c>
      <c r="I503" t="s">
        <v>618</v>
      </c>
    </row>
    <row r="504" spans="1:9" x14ac:dyDescent="0.3">
      <c r="A504" t="s">
        <v>10159</v>
      </c>
      <c r="B504" t="s">
        <v>51</v>
      </c>
      <c r="C504">
        <v>7648876604</v>
      </c>
      <c r="D504" s="2">
        <v>1</v>
      </c>
      <c r="E504" t="str">
        <f>"4574674200964062"</f>
        <v>4574674200964062</v>
      </c>
      <c r="F504" t="str">
        <f>"054"</f>
        <v>054</v>
      </c>
      <c r="G504">
        <v>1</v>
      </c>
      <c r="H504">
        <v>2023</v>
      </c>
      <c r="I504" t="s">
        <v>619</v>
      </c>
    </row>
    <row r="505" spans="1:9" x14ac:dyDescent="0.3">
      <c r="A505" t="s">
        <v>10159</v>
      </c>
      <c r="B505" t="s">
        <v>51</v>
      </c>
      <c r="C505">
        <v>7648876604</v>
      </c>
      <c r="D505" s="2">
        <v>1</v>
      </c>
      <c r="E505" t="str">
        <f>"4574674200436756"</f>
        <v>4574674200436756</v>
      </c>
      <c r="F505" t="str">
        <f>"005"</f>
        <v>005</v>
      </c>
      <c r="G505">
        <v>1</v>
      </c>
      <c r="H505">
        <v>2023</v>
      </c>
      <c r="I505" t="s">
        <v>620</v>
      </c>
    </row>
    <row r="506" spans="1:9" x14ac:dyDescent="0.3">
      <c r="A506" t="s">
        <v>10159</v>
      </c>
      <c r="B506" t="s">
        <v>51</v>
      </c>
      <c r="C506">
        <v>7648876604</v>
      </c>
      <c r="D506" s="2">
        <v>1</v>
      </c>
      <c r="E506" t="str">
        <f>"4574674200964070"</f>
        <v>4574674200964070</v>
      </c>
      <c r="F506" t="str">
        <f>"398"</f>
        <v>398</v>
      </c>
      <c r="G506">
        <v>1</v>
      </c>
      <c r="H506">
        <v>2023</v>
      </c>
      <c r="I506" t="s">
        <v>621</v>
      </c>
    </row>
    <row r="507" spans="1:9" x14ac:dyDescent="0.3">
      <c r="A507" t="s">
        <v>10159</v>
      </c>
      <c r="B507" t="s">
        <v>51</v>
      </c>
      <c r="C507">
        <v>7648876604</v>
      </c>
      <c r="D507" s="2">
        <v>1</v>
      </c>
      <c r="E507" t="str">
        <f>"4574674200964104"</f>
        <v>4574674200964104</v>
      </c>
      <c r="F507" t="str">
        <f>"679"</f>
        <v>679</v>
      </c>
      <c r="G507">
        <v>1</v>
      </c>
      <c r="H507">
        <v>2023</v>
      </c>
      <c r="I507" t="s">
        <v>622</v>
      </c>
    </row>
    <row r="508" spans="1:9" x14ac:dyDescent="0.3">
      <c r="A508" t="s">
        <v>10159</v>
      </c>
      <c r="B508" t="s">
        <v>51</v>
      </c>
      <c r="C508">
        <v>7648876604</v>
      </c>
      <c r="D508" s="2">
        <v>1</v>
      </c>
      <c r="E508" t="str">
        <f>"4574674200436780"</f>
        <v>4574674200436780</v>
      </c>
      <c r="F508" t="str">
        <f>"772"</f>
        <v>772</v>
      </c>
      <c r="G508">
        <v>1</v>
      </c>
      <c r="H508">
        <v>2023</v>
      </c>
      <c r="I508" t="s">
        <v>623</v>
      </c>
    </row>
    <row r="509" spans="1:9" x14ac:dyDescent="0.3">
      <c r="A509" t="s">
        <v>10159</v>
      </c>
      <c r="B509" t="s">
        <v>51</v>
      </c>
      <c r="C509">
        <v>7648876604</v>
      </c>
      <c r="D509" s="2">
        <v>1</v>
      </c>
      <c r="E509" t="str">
        <f>"4574674200964153"</f>
        <v>4574674200964153</v>
      </c>
      <c r="F509" t="str">
        <f>"901"</f>
        <v>901</v>
      </c>
      <c r="G509">
        <v>1</v>
      </c>
      <c r="H509">
        <v>2023</v>
      </c>
      <c r="I509" t="s">
        <v>624</v>
      </c>
    </row>
    <row r="510" spans="1:9" x14ac:dyDescent="0.3">
      <c r="A510" t="s">
        <v>10159</v>
      </c>
      <c r="B510" t="s">
        <v>51</v>
      </c>
      <c r="C510">
        <v>7648876604</v>
      </c>
      <c r="D510" s="2">
        <v>1</v>
      </c>
      <c r="E510" t="str">
        <f>"4574674200436509"</f>
        <v>4574674200436509</v>
      </c>
      <c r="F510" t="str">
        <f>"453"</f>
        <v>453</v>
      </c>
      <c r="G510">
        <v>1</v>
      </c>
      <c r="H510">
        <v>2023</v>
      </c>
      <c r="I510" t="s">
        <v>625</v>
      </c>
    </row>
    <row r="511" spans="1:9" x14ac:dyDescent="0.3">
      <c r="A511" t="s">
        <v>10159</v>
      </c>
      <c r="B511" t="s">
        <v>51</v>
      </c>
      <c r="C511">
        <v>7648876604</v>
      </c>
      <c r="D511" s="2">
        <v>1</v>
      </c>
      <c r="E511" t="str">
        <f>"4574674200964195"</f>
        <v>4574674200964195</v>
      </c>
      <c r="F511" t="str">
        <f>"393"</f>
        <v>393</v>
      </c>
      <c r="G511">
        <v>1</v>
      </c>
      <c r="H511">
        <v>2023</v>
      </c>
      <c r="I511" t="s">
        <v>626</v>
      </c>
    </row>
    <row r="512" spans="1:9" x14ac:dyDescent="0.3">
      <c r="A512" t="s">
        <v>10130</v>
      </c>
      <c r="B512" t="s">
        <v>22</v>
      </c>
      <c r="C512">
        <v>7648876604</v>
      </c>
      <c r="D512" s="2">
        <v>1</v>
      </c>
      <c r="E512" t="str">
        <f>"4574674200436798"</f>
        <v>4574674200436798</v>
      </c>
      <c r="F512" t="str">
        <f>"306"</f>
        <v>306</v>
      </c>
      <c r="G512">
        <v>1</v>
      </c>
      <c r="H512">
        <v>2023</v>
      </c>
      <c r="I512" t="s">
        <v>627</v>
      </c>
    </row>
    <row r="513" spans="1:9" x14ac:dyDescent="0.3">
      <c r="A513" t="s">
        <v>10130</v>
      </c>
      <c r="B513" t="s">
        <v>22</v>
      </c>
      <c r="C513">
        <v>7648876604</v>
      </c>
      <c r="D513" s="2">
        <v>1</v>
      </c>
      <c r="E513" t="str">
        <f>"4574674200964427"</f>
        <v>4574674200964427</v>
      </c>
      <c r="F513" t="str">
        <f>"486"</f>
        <v>486</v>
      </c>
      <c r="G513">
        <v>1</v>
      </c>
      <c r="H513">
        <v>2023</v>
      </c>
      <c r="I513" t="s">
        <v>628</v>
      </c>
    </row>
    <row r="514" spans="1:9" x14ac:dyDescent="0.3">
      <c r="A514" t="s">
        <v>10130</v>
      </c>
      <c r="B514" t="s">
        <v>22</v>
      </c>
      <c r="C514">
        <v>7648876604</v>
      </c>
      <c r="D514" s="2">
        <v>1</v>
      </c>
      <c r="E514" t="str">
        <f>"4574674200964443"</f>
        <v>4574674200964443</v>
      </c>
      <c r="F514" t="str">
        <f>"248"</f>
        <v>248</v>
      </c>
      <c r="G514">
        <v>1</v>
      </c>
      <c r="H514">
        <v>2023</v>
      </c>
      <c r="I514" t="s">
        <v>629</v>
      </c>
    </row>
    <row r="515" spans="1:9" x14ac:dyDescent="0.3">
      <c r="A515" t="s">
        <v>10130</v>
      </c>
      <c r="B515" t="s">
        <v>22</v>
      </c>
      <c r="C515">
        <v>7648876604</v>
      </c>
      <c r="D515" s="2">
        <v>1</v>
      </c>
      <c r="E515" t="str">
        <f>"4574674200964435"</f>
        <v>4574674200964435</v>
      </c>
      <c r="F515" t="str">
        <f>"737"</f>
        <v>737</v>
      </c>
      <c r="G515">
        <v>1</v>
      </c>
      <c r="H515">
        <v>2023</v>
      </c>
      <c r="I515" t="s">
        <v>630</v>
      </c>
    </row>
    <row r="516" spans="1:9" x14ac:dyDescent="0.3">
      <c r="A516" t="s">
        <v>10130</v>
      </c>
      <c r="B516" t="s">
        <v>22</v>
      </c>
      <c r="C516">
        <v>7648876604</v>
      </c>
      <c r="D516" s="2">
        <v>1</v>
      </c>
      <c r="E516" t="str">
        <f>"4574674200436566"</f>
        <v>4574674200436566</v>
      </c>
      <c r="F516" t="str">
        <f>"269"</f>
        <v>269</v>
      </c>
      <c r="G516">
        <v>1</v>
      </c>
      <c r="H516">
        <v>2023</v>
      </c>
      <c r="I516" t="s">
        <v>631</v>
      </c>
    </row>
    <row r="517" spans="1:9" x14ac:dyDescent="0.3">
      <c r="A517" t="s">
        <v>10130</v>
      </c>
      <c r="B517" t="s">
        <v>22</v>
      </c>
      <c r="C517">
        <v>7648876604</v>
      </c>
      <c r="D517" s="2">
        <v>1</v>
      </c>
      <c r="E517" t="str">
        <f>"4574674200964518"</f>
        <v>4574674200964518</v>
      </c>
      <c r="F517" t="str">
        <f>"521"</f>
        <v>521</v>
      </c>
      <c r="G517">
        <v>1</v>
      </c>
      <c r="H517">
        <v>2023</v>
      </c>
      <c r="I517" t="s">
        <v>632</v>
      </c>
    </row>
    <row r="518" spans="1:9" x14ac:dyDescent="0.3">
      <c r="A518" t="s">
        <v>10130</v>
      </c>
      <c r="B518" t="s">
        <v>22</v>
      </c>
      <c r="C518">
        <v>7648876604</v>
      </c>
      <c r="D518" s="2">
        <v>1</v>
      </c>
      <c r="E518" t="str">
        <f>"4574674200436574"</f>
        <v>4574674200436574</v>
      </c>
      <c r="F518" t="str">
        <f>"861"</f>
        <v>861</v>
      </c>
      <c r="G518">
        <v>1</v>
      </c>
      <c r="H518">
        <v>2023</v>
      </c>
      <c r="I518" t="s">
        <v>633</v>
      </c>
    </row>
    <row r="519" spans="1:9" x14ac:dyDescent="0.3">
      <c r="A519" t="s">
        <v>10130</v>
      </c>
      <c r="B519" t="s">
        <v>22</v>
      </c>
      <c r="C519">
        <v>7648876604</v>
      </c>
      <c r="D519" s="2">
        <v>1</v>
      </c>
      <c r="E519" t="str">
        <f>"4574674200964526"</f>
        <v>4574674200964526</v>
      </c>
      <c r="F519" t="str">
        <f>"898"</f>
        <v>898</v>
      </c>
      <c r="G519">
        <v>1</v>
      </c>
      <c r="H519">
        <v>2023</v>
      </c>
      <c r="I519" t="s">
        <v>634</v>
      </c>
    </row>
    <row r="520" spans="1:9" x14ac:dyDescent="0.3">
      <c r="A520" t="s">
        <v>10130</v>
      </c>
      <c r="B520" t="s">
        <v>22</v>
      </c>
      <c r="C520">
        <v>7648876604</v>
      </c>
      <c r="D520" s="2">
        <v>1</v>
      </c>
      <c r="E520" t="str">
        <f>"4574674200436897"</f>
        <v>4574674200436897</v>
      </c>
      <c r="F520" t="str">
        <f>"069"</f>
        <v>069</v>
      </c>
      <c r="G520">
        <v>1</v>
      </c>
      <c r="H520">
        <v>2023</v>
      </c>
      <c r="I520" t="s">
        <v>635</v>
      </c>
    </row>
    <row r="521" spans="1:9" x14ac:dyDescent="0.3">
      <c r="A521" t="s">
        <v>10130</v>
      </c>
      <c r="B521" t="s">
        <v>22</v>
      </c>
      <c r="C521">
        <v>7648876604</v>
      </c>
      <c r="D521" s="2">
        <v>1</v>
      </c>
      <c r="E521" t="str">
        <f>"4574674200964211"</f>
        <v>4574674200964211</v>
      </c>
      <c r="F521" t="str">
        <f>"761"</f>
        <v>761</v>
      </c>
      <c r="G521">
        <v>1</v>
      </c>
      <c r="H521">
        <v>2023</v>
      </c>
      <c r="I521" t="s">
        <v>636</v>
      </c>
    </row>
    <row r="522" spans="1:9" x14ac:dyDescent="0.3">
      <c r="A522" t="s">
        <v>10132</v>
      </c>
      <c r="B522" t="s">
        <v>24</v>
      </c>
      <c r="C522">
        <v>7648876604</v>
      </c>
      <c r="D522" s="2">
        <v>1</v>
      </c>
      <c r="E522" t="str">
        <f>"4574674200436939"</f>
        <v>4574674200436939</v>
      </c>
      <c r="F522" t="str">
        <f>"299"</f>
        <v>299</v>
      </c>
      <c r="G522">
        <v>1</v>
      </c>
      <c r="H522">
        <v>2023</v>
      </c>
      <c r="I522" t="s">
        <v>637</v>
      </c>
    </row>
    <row r="523" spans="1:9" x14ac:dyDescent="0.3">
      <c r="A523" t="s">
        <v>10132</v>
      </c>
      <c r="B523" t="s">
        <v>24</v>
      </c>
      <c r="C523">
        <v>7648876604</v>
      </c>
      <c r="D523" s="2">
        <v>1</v>
      </c>
      <c r="E523" t="str">
        <f>"4574674200964559"</f>
        <v>4574674200964559</v>
      </c>
      <c r="F523" t="str">
        <f>"335"</f>
        <v>335</v>
      </c>
      <c r="G523">
        <v>1</v>
      </c>
      <c r="H523">
        <v>2023</v>
      </c>
      <c r="I523" t="s">
        <v>638</v>
      </c>
    </row>
    <row r="524" spans="1:9" x14ac:dyDescent="0.3">
      <c r="A524" t="s">
        <v>10132</v>
      </c>
      <c r="B524" t="s">
        <v>24</v>
      </c>
      <c r="C524">
        <v>7648876604</v>
      </c>
      <c r="D524" s="2">
        <v>1</v>
      </c>
      <c r="E524" t="str">
        <f>"4574674200436970"</f>
        <v>4574674200436970</v>
      </c>
      <c r="F524" t="str">
        <f>"123"</f>
        <v>123</v>
      </c>
      <c r="G524">
        <v>1</v>
      </c>
      <c r="H524">
        <v>2023</v>
      </c>
      <c r="I524" t="s">
        <v>639</v>
      </c>
    </row>
    <row r="525" spans="1:9" x14ac:dyDescent="0.3">
      <c r="A525" t="s">
        <v>10132</v>
      </c>
      <c r="B525" t="s">
        <v>24</v>
      </c>
      <c r="C525">
        <v>7648876604</v>
      </c>
      <c r="D525" s="2">
        <v>1</v>
      </c>
      <c r="E525" t="str">
        <f>"4574674200964583"</f>
        <v>4574674200964583</v>
      </c>
      <c r="F525" t="str">
        <f>"085"</f>
        <v>085</v>
      </c>
      <c r="G525">
        <v>1</v>
      </c>
      <c r="H525">
        <v>2023</v>
      </c>
      <c r="I525" t="s">
        <v>640</v>
      </c>
    </row>
    <row r="526" spans="1:9" x14ac:dyDescent="0.3">
      <c r="A526" t="s">
        <v>10132</v>
      </c>
      <c r="B526" t="s">
        <v>24</v>
      </c>
      <c r="C526">
        <v>7648876604</v>
      </c>
      <c r="D526" s="2">
        <v>1</v>
      </c>
      <c r="E526" t="str">
        <f>"4574674200964591"</f>
        <v>4574674200964591</v>
      </c>
      <c r="F526" t="str">
        <f>"970"</f>
        <v>970</v>
      </c>
      <c r="G526">
        <v>1</v>
      </c>
      <c r="H526">
        <v>2023</v>
      </c>
      <c r="I526" t="s">
        <v>641</v>
      </c>
    </row>
    <row r="527" spans="1:9" x14ac:dyDescent="0.3">
      <c r="A527" t="s">
        <v>10132</v>
      </c>
      <c r="B527" t="s">
        <v>24</v>
      </c>
      <c r="C527">
        <v>7648876604</v>
      </c>
      <c r="D527" s="2">
        <v>1</v>
      </c>
      <c r="E527" t="str">
        <f>"4574674200436962"</f>
        <v>4574674200436962</v>
      </c>
      <c r="F527" t="str">
        <f>"148"</f>
        <v>148</v>
      </c>
      <c r="G527">
        <v>1</v>
      </c>
      <c r="H527">
        <v>2023</v>
      </c>
      <c r="I527" t="s">
        <v>642</v>
      </c>
    </row>
    <row r="528" spans="1:9" x14ac:dyDescent="0.3">
      <c r="A528" t="s">
        <v>10132</v>
      </c>
      <c r="B528" t="s">
        <v>24</v>
      </c>
      <c r="C528">
        <v>7648876604</v>
      </c>
      <c r="D528" s="2">
        <v>1</v>
      </c>
      <c r="E528" t="str">
        <f>"4574674200964633"</f>
        <v>4574674200964633</v>
      </c>
      <c r="F528" t="str">
        <f>"817"</f>
        <v>817</v>
      </c>
      <c r="G528">
        <v>1</v>
      </c>
      <c r="H528">
        <v>2023</v>
      </c>
      <c r="I528" t="s">
        <v>643</v>
      </c>
    </row>
    <row r="529" spans="1:9" x14ac:dyDescent="0.3">
      <c r="A529" t="s">
        <v>10132</v>
      </c>
      <c r="B529" t="s">
        <v>24</v>
      </c>
      <c r="C529">
        <v>7648876604</v>
      </c>
      <c r="D529" s="2">
        <v>1</v>
      </c>
      <c r="E529" t="str">
        <f>"4574674200437028"</f>
        <v>4574674200437028</v>
      </c>
      <c r="F529" t="str">
        <f>"995"</f>
        <v>995</v>
      </c>
      <c r="G529">
        <v>1</v>
      </c>
      <c r="H529">
        <v>2023</v>
      </c>
      <c r="I529" t="s">
        <v>644</v>
      </c>
    </row>
    <row r="530" spans="1:9" x14ac:dyDescent="0.3">
      <c r="A530" t="s">
        <v>10132</v>
      </c>
      <c r="B530" t="s">
        <v>24</v>
      </c>
      <c r="C530">
        <v>7648876604</v>
      </c>
      <c r="D530" s="2">
        <v>1</v>
      </c>
      <c r="E530" t="str">
        <f>"4574674200964658"</f>
        <v>4574674200964658</v>
      </c>
      <c r="F530" t="str">
        <f>"874"</f>
        <v>874</v>
      </c>
      <c r="G530">
        <v>1</v>
      </c>
      <c r="H530">
        <v>2023</v>
      </c>
      <c r="I530" t="s">
        <v>645</v>
      </c>
    </row>
    <row r="531" spans="1:9" x14ac:dyDescent="0.3">
      <c r="A531" t="s">
        <v>10132</v>
      </c>
      <c r="B531" t="s">
        <v>24</v>
      </c>
      <c r="C531">
        <v>7648876604</v>
      </c>
      <c r="D531" s="2">
        <v>1</v>
      </c>
      <c r="E531" t="str">
        <f>"4574674200437259"</f>
        <v>4574674200437259</v>
      </c>
      <c r="F531" t="str">
        <f>"918"</f>
        <v>918</v>
      </c>
      <c r="G531">
        <v>1</v>
      </c>
      <c r="H531">
        <v>2023</v>
      </c>
      <c r="I531" t="s">
        <v>646</v>
      </c>
    </row>
    <row r="532" spans="1:9" x14ac:dyDescent="0.3">
      <c r="A532" t="s">
        <v>10160</v>
      </c>
      <c r="B532" t="s">
        <v>52</v>
      </c>
      <c r="C532">
        <v>7648876604</v>
      </c>
      <c r="D532" s="2">
        <v>1</v>
      </c>
      <c r="E532" t="str">
        <f>"4574674200964666"</f>
        <v>4574674200964666</v>
      </c>
      <c r="F532" t="str">
        <f>"428"</f>
        <v>428</v>
      </c>
      <c r="G532">
        <v>1</v>
      </c>
      <c r="H532">
        <v>2023</v>
      </c>
      <c r="I532" t="s">
        <v>647</v>
      </c>
    </row>
    <row r="533" spans="1:9" x14ac:dyDescent="0.3">
      <c r="A533" t="s">
        <v>10160</v>
      </c>
      <c r="B533" t="s">
        <v>52</v>
      </c>
      <c r="C533">
        <v>7648876604</v>
      </c>
      <c r="D533" s="2">
        <v>1</v>
      </c>
      <c r="E533" t="str">
        <f>"4574674200437291"</f>
        <v>4574674200437291</v>
      </c>
      <c r="F533" t="str">
        <f>"684"</f>
        <v>684</v>
      </c>
      <c r="G533">
        <v>1</v>
      </c>
      <c r="H533">
        <v>2023</v>
      </c>
      <c r="I533" t="s">
        <v>648</v>
      </c>
    </row>
    <row r="534" spans="1:9" x14ac:dyDescent="0.3">
      <c r="A534" t="s">
        <v>10160</v>
      </c>
      <c r="B534" t="s">
        <v>52</v>
      </c>
      <c r="C534">
        <v>7648876604</v>
      </c>
      <c r="D534" s="2">
        <v>1</v>
      </c>
      <c r="E534" t="str">
        <f>"4574674200964732"</f>
        <v>4574674200964732</v>
      </c>
      <c r="F534" t="str">
        <f>"771"</f>
        <v>771</v>
      </c>
      <c r="G534">
        <v>1</v>
      </c>
      <c r="H534">
        <v>2023</v>
      </c>
      <c r="I534" t="s">
        <v>649</v>
      </c>
    </row>
    <row r="535" spans="1:9" x14ac:dyDescent="0.3">
      <c r="A535" t="s">
        <v>10160</v>
      </c>
      <c r="B535" t="s">
        <v>52</v>
      </c>
      <c r="C535">
        <v>7648876604</v>
      </c>
      <c r="D535" s="2">
        <v>1</v>
      </c>
      <c r="E535" t="str">
        <f>"4574674200437085"</f>
        <v>4574674200437085</v>
      </c>
      <c r="F535" t="str">
        <f>"161"</f>
        <v>161</v>
      </c>
      <c r="G535">
        <v>1</v>
      </c>
      <c r="H535">
        <v>2023</v>
      </c>
      <c r="I535" t="s">
        <v>650</v>
      </c>
    </row>
    <row r="536" spans="1:9" x14ac:dyDescent="0.3">
      <c r="A536" t="s">
        <v>10160</v>
      </c>
      <c r="B536" t="s">
        <v>52</v>
      </c>
      <c r="C536">
        <v>7648876604</v>
      </c>
      <c r="D536" s="2">
        <v>1</v>
      </c>
      <c r="E536" t="str">
        <f>"4574674200964740"</f>
        <v>4574674200964740</v>
      </c>
      <c r="F536" t="str">
        <f>"221"</f>
        <v>221</v>
      </c>
      <c r="G536">
        <v>1</v>
      </c>
      <c r="H536">
        <v>2023</v>
      </c>
      <c r="I536" t="s">
        <v>651</v>
      </c>
    </row>
    <row r="537" spans="1:9" x14ac:dyDescent="0.3">
      <c r="A537" t="s">
        <v>10160</v>
      </c>
      <c r="B537" t="s">
        <v>52</v>
      </c>
      <c r="C537">
        <v>7648876604</v>
      </c>
      <c r="D537" s="2">
        <v>1</v>
      </c>
      <c r="E537" t="str">
        <f>"4574674200964765"</f>
        <v>4574674200964765</v>
      </c>
      <c r="F537" t="str">
        <f>"993"</f>
        <v>993</v>
      </c>
      <c r="G537">
        <v>1</v>
      </c>
      <c r="H537">
        <v>2023</v>
      </c>
      <c r="I537" t="s">
        <v>652</v>
      </c>
    </row>
    <row r="538" spans="1:9" x14ac:dyDescent="0.3">
      <c r="A538" t="s">
        <v>10160</v>
      </c>
      <c r="B538" t="s">
        <v>52</v>
      </c>
      <c r="C538">
        <v>7648876604</v>
      </c>
      <c r="D538" s="2">
        <v>1</v>
      </c>
      <c r="E538" t="str">
        <f>"4574674200437317"</f>
        <v>4574674200437317</v>
      </c>
      <c r="F538" t="str">
        <f>"455"</f>
        <v>455</v>
      </c>
      <c r="G538">
        <v>1</v>
      </c>
      <c r="H538">
        <v>2023</v>
      </c>
      <c r="I538" t="s">
        <v>653</v>
      </c>
    </row>
    <row r="539" spans="1:9" x14ac:dyDescent="0.3">
      <c r="A539" t="s">
        <v>10160</v>
      </c>
      <c r="B539" t="s">
        <v>52</v>
      </c>
      <c r="C539">
        <v>7648876604</v>
      </c>
      <c r="D539" s="2">
        <v>1</v>
      </c>
      <c r="E539" t="str">
        <f>"4574674200964773"</f>
        <v>4574674200964773</v>
      </c>
      <c r="F539" t="str">
        <f>"092"</f>
        <v>092</v>
      </c>
      <c r="G539">
        <v>1</v>
      </c>
      <c r="H539">
        <v>2023</v>
      </c>
      <c r="I539" t="s">
        <v>654</v>
      </c>
    </row>
    <row r="540" spans="1:9" x14ac:dyDescent="0.3">
      <c r="A540" t="s">
        <v>10160</v>
      </c>
      <c r="B540" t="s">
        <v>52</v>
      </c>
      <c r="C540">
        <v>7648876604</v>
      </c>
      <c r="D540" s="2">
        <v>1</v>
      </c>
      <c r="E540" t="str">
        <f>"4574674200964781"</f>
        <v>4574674200964781</v>
      </c>
      <c r="F540" t="str">
        <f>"795"</f>
        <v>795</v>
      </c>
      <c r="G540">
        <v>1</v>
      </c>
      <c r="H540">
        <v>2023</v>
      </c>
      <c r="I540" t="s">
        <v>655</v>
      </c>
    </row>
    <row r="541" spans="1:9" x14ac:dyDescent="0.3">
      <c r="A541" t="s">
        <v>10160</v>
      </c>
      <c r="B541" t="s">
        <v>52</v>
      </c>
      <c r="C541">
        <v>7648876604</v>
      </c>
      <c r="D541" s="2">
        <v>1</v>
      </c>
      <c r="E541" t="str">
        <f>"4574674200437093"</f>
        <v>4574674200437093</v>
      </c>
      <c r="F541" t="str">
        <f>"206"</f>
        <v>206</v>
      </c>
      <c r="G541">
        <v>1</v>
      </c>
      <c r="H541">
        <v>2023</v>
      </c>
      <c r="I541" t="s">
        <v>656</v>
      </c>
    </row>
    <row r="542" spans="1:9" x14ac:dyDescent="0.3">
      <c r="A542" t="s">
        <v>10161</v>
      </c>
      <c r="B542" t="s">
        <v>53</v>
      </c>
      <c r="C542">
        <v>7648876604</v>
      </c>
      <c r="D542" s="2">
        <v>1</v>
      </c>
      <c r="E542" t="str">
        <f>"4574674200964815"</f>
        <v>4574674200964815</v>
      </c>
      <c r="F542" t="str">
        <f>"151"</f>
        <v>151</v>
      </c>
      <c r="G542">
        <v>1</v>
      </c>
      <c r="H542">
        <v>2023</v>
      </c>
      <c r="I542" t="s">
        <v>657</v>
      </c>
    </row>
    <row r="543" spans="1:9" x14ac:dyDescent="0.3">
      <c r="A543" t="s">
        <v>10161</v>
      </c>
      <c r="B543" t="s">
        <v>53</v>
      </c>
      <c r="C543">
        <v>7648876604</v>
      </c>
      <c r="D543" s="2">
        <v>1</v>
      </c>
      <c r="E543" t="str">
        <f>"4574674200437374"</f>
        <v>4574674200437374</v>
      </c>
      <c r="F543" t="str">
        <f>"901"</f>
        <v>901</v>
      </c>
      <c r="G543">
        <v>1</v>
      </c>
      <c r="H543">
        <v>2023</v>
      </c>
      <c r="I543" t="s">
        <v>658</v>
      </c>
    </row>
    <row r="544" spans="1:9" x14ac:dyDescent="0.3">
      <c r="A544" t="s">
        <v>10161</v>
      </c>
      <c r="B544" t="s">
        <v>53</v>
      </c>
      <c r="C544">
        <v>7648876604</v>
      </c>
      <c r="D544" s="2">
        <v>1</v>
      </c>
      <c r="E544" t="str">
        <f>"4574674200964880"</f>
        <v>4574674200964880</v>
      </c>
      <c r="F544" t="str">
        <f>"736"</f>
        <v>736</v>
      </c>
      <c r="G544">
        <v>1</v>
      </c>
      <c r="H544">
        <v>2023</v>
      </c>
      <c r="I544" t="s">
        <v>659</v>
      </c>
    </row>
    <row r="545" spans="1:9" x14ac:dyDescent="0.3">
      <c r="A545" t="s">
        <v>10161</v>
      </c>
      <c r="B545" t="s">
        <v>53</v>
      </c>
      <c r="C545">
        <v>7648876604</v>
      </c>
      <c r="D545" s="2">
        <v>1</v>
      </c>
      <c r="E545" t="str">
        <f>"4574674200964898"</f>
        <v>4574674200964898</v>
      </c>
      <c r="F545" t="str">
        <f>"656"</f>
        <v>656</v>
      </c>
      <c r="G545">
        <v>1</v>
      </c>
      <c r="H545">
        <v>2023</v>
      </c>
      <c r="I545" t="s">
        <v>660</v>
      </c>
    </row>
    <row r="546" spans="1:9" x14ac:dyDescent="0.3">
      <c r="A546" t="s">
        <v>10161</v>
      </c>
      <c r="B546" t="s">
        <v>53</v>
      </c>
      <c r="C546">
        <v>7648876604</v>
      </c>
      <c r="D546" s="2">
        <v>1</v>
      </c>
      <c r="E546" t="str">
        <f>"4574674200437416"</f>
        <v>4574674200437416</v>
      </c>
      <c r="F546" t="str">
        <f>"905"</f>
        <v>905</v>
      </c>
      <c r="G546">
        <v>1</v>
      </c>
      <c r="H546">
        <v>2023</v>
      </c>
      <c r="I546" t="s">
        <v>661</v>
      </c>
    </row>
    <row r="547" spans="1:9" x14ac:dyDescent="0.3">
      <c r="A547" t="s">
        <v>10161</v>
      </c>
      <c r="B547" t="s">
        <v>53</v>
      </c>
      <c r="C547">
        <v>7648876604</v>
      </c>
      <c r="D547" s="2">
        <v>1</v>
      </c>
      <c r="E547" t="str">
        <f>"4574674200964906"</f>
        <v>4574674200964906</v>
      </c>
      <c r="F547" t="str">
        <f>"294"</f>
        <v>294</v>
      </c>
      <c r="G547">
        <v>1</v>
      </c>
      <c r="H547">
        <v>2023</v>
      </c>
      <c r="I547" t="s">
        <v>662</v>
      </c>
    </row>
    <row r="548" spans="1:9" x14ac:dyDescent="0.3">
      <c r="A548" t="s">
        <v>10161</v>
      </c>
      <c r="B548" t="s">
        <v>53</v>
      </c>
      <c r="C548">
        <v>7648876604</v>
      </c>
      <c r="D548" s="2">
        <v>1</v>
      </c>
      <c r="E548" t="str">
        <f>"4574674200437473"</f>
        <v>4574674200437473</v>
      </c>
      <c r="F548" t="str">
        <f>"011"</f>
        <v>011</v>
      </c>
      <c r="G548">
        <v>1</v>
      </c>
      <c r="H548">
        <v>2023</v>
      </c>
      <c r="I548" t="s">
        <v>663</v>
      </c>
    </row>
    <row r="549" spans="1:9" x14ac:dyDescent="0.3">
      <c r="A549" t="s">
        <v>10161</v>
      </c>
      <c r="B549" t="s">
        <v>53</v>
      </c>
      <c r="C549">
        <v>7648876604</v>
      </c>
      <c r="D549" s="2">
        <v>1</v>
      </c>
      <c r="E549" t="str">
        <f>"4574674200964948"</f>
        <v>4574674200964948</v>
      </c>
      <c r="F549" t="str">
        <f>"491"</f>
        <v>491</v>
      </c>
      <c r="G549">
        <v>1</v>
      </c>
      <c r="H549">
        <v>2023</v>
      </c>
      <c r="I549" t="s">
        <v>664</v>
      </c>
    </row>
    <row r="550" spans="1:9" x14ac:dyDescent="0.3">
      <c r="A550" t="s">
        <v>10161</v>
      </c>
      <c r="B550" t="s">
        <v>53</v>
      </c>
      <c r="C550">
        <v>7648876604</v>
      </c>
      <c r="D550" s="2">
        <v>1</v>
      </c>
      <c r="E550" t="str">
        <f>"4574674200437481"</f>
        <v>4574674200437481</v>
      </c>
      <c r="F550" t="str">
        <f>"199"</f>
        <v>199</v>
      </c>
      <c r="G550">
        <v>1</v>
      </c>
      <c r="H550">
        <v>2023</v>
      </c>
      <c r="I550" t="s">
        <v>665</v>
      </c>
    </row>
    <row r="551" spans="1:9" x14ac:dyDescent="0.3">
      <c r="A551" t="s">
        <v>10161</v>
      </c>
      <c r="B551" t="s">
        <v>53</v>
      </c>
      <c r="C551">
        <v>7648876604</v>
      </c>
      <c r="D551" s="2">
        <v>1</v>
      </c>
      <c r="E551" t="str">
        <f>"4574674200964922"</f>
        <v>4574674200964922</v>
      </c>
      <c r="F551" t="str">
        <f>"393"</f>
        <v>393</v>
      </c>
      <c r="G551">
        <v>1</v>
      </c>
      <c r="H551">
        <v>2023</v>
      </c>
      <c r="I551" t="s">
        <v>666</v>
      </c>
    </row>
    <row r="552" spans="1:9" x14ac:dyDescent="0.3">
      <c r="A552" t="s">
        <v>10148</v>
      </c>
      <c r="B552" t="s">
        <v>40</v>
      </c>
      <c r="C552">
        <v>7648876604</v>
      </c>
      <c r="D552" s="2">
        <v>1</v>
      </c>
      <c r="E552" t="str">
        <f>"4574674200965002"</f>
        <v>4574674200965002</v>
      </c>
      <c r="F552" t="str">
        <f>"854"</f>
        <v>854</v>
      </c>
      <c r="G552">
        <v>1</v>
      </c>
      <c r="H552">
        <v>2023</v>
      </c>
      <c r="I552" t="s">
        <v>667</v>
      </c>
    </row>
    <row r="553" spans="1:9" x14ac:dyDescent="0.3">
      <c r="A553" t="s">
        <v>10148</v>
      </c>
      <c r="B553" t="s">
        <v>40</v>
      </c>
      <c r="C553">
        <v>7648876604</v>
      </c>
      <c r="D553" s="2">
        <v>1</v>
      </c>
      <c r="E553" t="str">
        <f>"4574674200437556"</f>
        <v>4574674200437556</v>
      </c>
      <c r="F553" t="str">
        <f>"131"</f>
        <v>131</v>
      </c>
      <c r="G553">
        <v>1</v>
      </c>
      <c r="H553">
        <v>2023</v>
      </c>
      <c r="I553" t="s">
        <v>668</v>
      </c>
    </row>
    <row r="554" spans="1:9" x14ac:dyDescent="0.3">
      <c r="A554" t="s">
        <v>10148</v>
      </c>
      <c r="B554" t="s">
        <v>40</v>
      </c>
      <c r="C554">
        <v>7648876604</v>
      </c>
      <c r="D554" s="2">
        <v>1</v>
      </c>
      <c r="E554" t="str">
        <f>"4574674200964278"</f>
        <v>4574674200964278</v>
      </c>
      <c r="F554" t="str">
        <f>"548"</f>
        <v>548</v>
      </c>
      <c r="G554">
        <v>1</v>
      </c>
      <c r="H554">
        <v>2023</v>
      </c>
      <c r="I554" t="s">
        <v>669</v>
      </c>
    </row>
    <row r="555" spans="1:9" x14ac:dyDescent="0.3">
      <c r="A555" t="s">
        <v>10148</v>
      </c>
      <c r="B555" t="s">
        <v>40</v>
      </c>
      <c r="C555">
        <v>7648876604</v>
      </c>
      <c r="D555" s="2">
        <v>1</v>
      </c>
      <c r="E555" t="str">
        <f>"4574674200437606"</f>
        <v>4574674200437606</v>
      </c>
      <c r="F555" t="str">
        <f>"636"</f>
        <v>636</v>
      </c>
      <c r="G555">
        <v>1</v>
      </c>
      <c r="H555">
        <v>2023</v>
      </c>
      <c r="I555" t="s">
        <v>670</v>
      </c>
    </row>
    <row r="556" spans="1:9" x14ac:dyDescent="0.3">
      <c r="A556" t="s">
        <v>10148</v>
      </c>
      <c r="B556" t="s">
        <v>40</v>
      </c>
      <c r="C556">
        <v>7648876604</v>
      </c>
      <c r="D556" s="2">
        <v>1</v>
      </c>
      <c r="E556" t="str">
        <f>"4574674200965069"</f>
        <v>4574674200965069</v>
      </c>
      <c r="F556" t="str">
        <f>"397"</f>
        <v>397</v>
      </c>
      <c r="G556">
        <v>1</v>
      </c>
      <c r="H556">
        <v>2023</v>
      </c>
      <c r="I556" t="s">
        <v>671</v>
      </c>
    </row>
    <row r="557" spans="1:9" x14ac:dyDescent="0.3">
      <c r="A557" t="s">
        <v>10148</v>
      </c>
      <c r="B557" t="s">
        <v>40</v>
      </c>
      <c r="C557">
        <v>7648876604</v>
      </c>
      <c r="D557" s="2">
        <v>1</v>
      </c>
      <c r="E557" t="str">
        <f>"4574674200437564"</f>
        <v>4574674200437564</v>
      </c>
      <c r="F557" t="str">
        <f>"888"</f>
        <v>888</v>
      </c>
      <c r="G557">
        <v>1</v>
      </c>
      <c r="H557">
        <v>2023</v>
      </c>
      <c r="I557" t="s">
        <v>672</v>
      </c>
    </row>
    <row r="558" spans="1:9" x14ac:dyDescent="0.3">
      <c r="A558" t="s">
        <v>10148</v>
      </c>
      <c r="B558" t="s">
        <v>40</v>
      </c>
      <c r="C558">
        <v>7648876604</v>
      </c>
      <c r="D558" s="2">
        <v>1</v>
      </c>
      <c r="E558" t="str">
        <f>"4574674200965051"</f>
        <v>4574674200965051</v>
      </c>
      <c r="F558" t="str">
        <f>"876"</f>
        <v>876</v>
      </c>
      <c r="G558">
        <v>1</v>
      </c>
      <c r="H558">
        <v>2023</v>
      </c>
      <c r="I558" t="s">
        <v>673</v>
      </c>
    </row>
    <row r="559" spans="1:9" x14ac:dyDescent="0.3">
      <c r="A559" t="s">
        <v>10148</v>
      </c>
      <c r="B559" t="s">
        <v>40</v>
      </c>
      <c r="C559">
        <v>7648876604</v>
      </c>
      <c r="D559" s="2">
        <v>1</v>
      </c>
      <c r="E559" t="str">
        <f>"4574674200965085"</f>
        <v>4574674200965085</v>
      </c>
      <c r="F559" t="str">
        <f>"589"</f>
        <v>589</v>
      </c>
      <c r="G559">
        <v>1</v>
      </c>
      <c r="H559">
        <v>2023</v>
      </c>
      <c r="I559" t="s">
        <v>674</v>
      </c>
    </row>
    <row r="560" spans="1:9" x14ac:dyDescent="0.3">
      <c r="A560" t="s">
        <v>10148</v>
      </c>
      <c r="B560" t="s">
        <v>40</v>
      </c>
      <c r="C560">
        <v>7648876604</v>
      </c>
      <c r="D560" s="2">
        <v>1</v>
      </c>
      <c r="E560" t="str">
        <f>"4574674200437580"</f>
        <v>4574674200437580</v>
      </c>
      <c r="F560" t="str">
        <f>"589"</f>
        <v>589</v>
      </c>
      <c r="G560">
        <v>1</v>
      </c>
      <c r="H560">
        <v>2023</v>
      </c>
      <c r="I560" t="s">
        <v>675</v>
      </c>
    </row>
    <row r="561" spans="1:9" x14ac:dyDescent="0.3">
      <c r="A561" t="s">
        <v>10148</v>
      </c>
      <c r="B561" t="s">
        <v>40</v>
      </c>
      <c r="C561">
        <v>7648876604</v>
      </c>
      <c r="D561" s="2">
        <v>1</v>
      </c>
      <c r="E561" t="str">
        <f>"4574674200965077"</f>
        <v>4574674200965077</v>
      </c>
      <c r="F561" t="str">
        <f>"593"</f>
        <v>593</v>
      </c>
      <c r="G561">
        <v>1</v>
      </c>
      <c r="H561">
        <v>2023</v>
      </c>
      <c r="I561" t="s">
        <v>676</v>
      </c>
    </row>
    <row r="562" spans="1:9" x14ac:dyDescent="0.3">
      <c r="A562" t="s">
        <v>10149</v>
      </c>
      <c r="B562" t="s">
        <v>41</v>
      </c>
      <c r="C562">
        <v>7648876604</v>
      </c>
      <c r="D562" s="2">
        <v>1</v>
      </c>
      <c r="E562" t="str">
        <f>"4574674200437820"</f>
        <v>4574674200437820</v>
      </c>
      <c r="F562" t="str">
        <f>"233"</f>
        <v>233</v>
      </c>
      <c r="G562">
        <v>1</v>
      </c>
      <c r="H562">
        <v>2023</v>
      </c>
      <c r="I562" t="s">
        <v>677</v>
      </c>
    </row>
    <row r="563" spans="1:9" x14ac:dyDescent="0.3">
      <c r="A563" t="s">
        <v>10149</v>
      </c>
      <c r="B563" t="s">
        <v>41</v>
      </c>
      <c r="C563">
        <v>7648876604</v>
      </c>
      <c r="D563" s="2">
        <v>1</v>
      </c>
      <c r="E563" t="str">
        <f>"4574674200965093"</f>
        <v>4574674200965093</v>
      </c>
      <c r="F563" t="str">
        <f>"721"</f>
        <v>721</v>
      </c>
      <c r="G563">
        <v>1</v>
      </c>
      <c r="H563">
        <v>2023</v>
      </c>
      <c r="I563" t="s">
        <v>678</v>
      </c>
    </row>
    <row r="564" spans="1:9" x14ac:dyDescent="0.3">
      <c r="A564" t="s">
        <v>10149</v>
      </c>
      <c r="B564" t="s">
        <v>41</v>
      </c>
      <c r="C564">
        <v>7648876604</v>
      </c>
      <c r="D564" s="2">
        <v>1</v>
      </c>
      <c r="E564" t="str">
        <f>"4574674200437861"</f>
        <v>4574674200437861</v>
      </c>
      <c r="F564" t="str">
        <f>"880"</f>
        <v>880</v>
      </c>
      <c r="G564">
        <v>1</v>
      </c>
      <c r="H564">
        <v>2023</v>
      </c>
      <c r="I564" t="s">
        <v>679</v>
      </c>
    </row>
    <row r="565" spans="1:9" x14ac:dyDescent="0.3">
      <c r="A565" t="s">
        <v>10149</v>
      </c>
      <c r="B565" t="s">
        <v>41</v>
      </c>
      <c r="C565">
        <v>7648876604</v>
      </c>
      <c r="D565" s="2">
        <v>1</v>
      </c>
      <c r="E565" t="str">
        <f>"4574674200965143"</f>
        <v>4574674200965143</v>
      </c>
      <c r="F565" t="str">
        <f>"666"</f>
        <v>666</v>
      </c>
      <c r="G565">
        <v>1</v>
      </c>
      <c r="H565">
        <v>2023</v>
      </c>
      <c r="I565" t="s">
        <v>680</v>
      </c>
    </row>
    <row r="566" spans="1:9" x14ac:dyDescent="0.3">
      <c r="A566" t="s">
        <v>10149</v>
      </c>
      <c r="B566" t="s">
        <v>41</v>
      </c>
      <c r="C566">
        <v>7648876604</v>
      </c>
      <c r="D566" s="2">
        <v>1</v>
      </c>
      <c r="E566" t="str">
        <f>"4574674200965226"</f>
        <v>4574674200965226</v>
      </c>
      <c r="F566" t="str">
        <f>"279"</f>
        <v>279</v>
      </c>
      <c r="G566">
        <v>1</v>
      </c>
      <c r="H566">
        <v>2023</v>
      </c>
      <c r="I566" t="s">
        <v>681</v>
      </c>
    </row>
    <row r="567" spans="1:9" x14ac:dyDescent="0.3">
      <c r="A567" t="s">
        <v>10149</v>
      </c>
      <c r="B567" t="s">
        <v>41</v>
      </c>
      <c r="C567">
        <v>7648876604</v>
      </c>
      <c r="D567" s="2">
        <v>1</v>
      </c>
      <c r="E567" t="str">
        <f>"4574674200965234"</f>
        <v>4574674200965234</v>
      </c>
      <c r="F567" t="str">
        <f>"773"</f>
        <v>773</v>
      </c>
      <c r="G567">
        <v>1</v>
      </c>
      <c r="H567">
        <v>2023</v>
      </c>
      <c r="I567" t="s">
        <v>682</v>
      </c>
    </row>
    <row r="568" spans="1:9" x14ac:dyDescent="0.3">
      <c r="A568" t="s">
        <v>10149</v>
      </c>
      <c r="B568" t="s">
        <v>41</v>
      </c>
      <c r="C568">
        <v>7648876604</v>
      </c>
      <c r="D568" s="2">
        <v>1</v>
      </c>
      <c r="E568" t="str">
        <f>"4574674200437663"</f>
        <v>4574674200437663</v>
      </c>
      <c r="F568" t="str">
        <f>"552"</f>
        <v>552</v>
      </c>
      <c r="G568">
        <v>1</v>
      </c>
      <c r="H568">
        <v>2023</v>
      </c>
      <c r="I568" t="s">
        <v>683</v>
      </c>
    </row>
    <row r="569" spans="1:9" x14ac:dyDescent="0.3">
      <c r="A569" t="s">
        <v>10149</v>
      </c>
      <c r="B569" t="s">
        <v>41</v>
      </c>
      <c r="C569">
        <v>7648876604</v>
      </c>
      <c r="D569" s="2">
        <v>1</v>
      </c>
      <c r="E569" t="str">
        <f>"4574674200965242"</f>
        <v>4574674200965242</v>
      </c>
      <c r="F569" t="str">
        <f>"832"</f>
        <v>832</v>
      </c>
      <c r="G569">
        <v>1</v>
      </c>
      <c r="H569">
        <v>2023</v>
      </c>
      <c r="I569" t="s">
        <v>684</v>
      </c>
    </row>
    <row r="570" spans="1:9" x14ac:dyDescent="0.3">
      <c r="A570" t="s">
        <v>10149</v>
      </c>
      <c r="B570" t="s">
        <v>41</v>
      </c>
      <c r="C570">
        <v>7648876604</v>
      </c>
      <c r="D570" s="2">
        <v>1</v>
      </c>
      <c r="E570" t="str">
        <f>"4574674200438018"</f>
        <v>4574674200438018</v>
      </c>
      <c r="F570" t="str">
        <f>"792"</f>
        <v>792</v>
      </c>
      <c r="G570">
        <v>1</v>
      </c>
      <c r="H570">
        <v>2023</v>
      </c>
      <c r="I570" t="s">
        <v>685</v>
      </c>
    </row>
    <row r="571" spans="1:9" x14ac:dyDescent="0.3">
      <c r="A571" t="s">
        <v>10149</v>
      </c>
      <c r="B571" t="s">
        <v>41</v>
      </c>
      <c r="C571">
        <v>7648876604</v>
      </c>
      <c r="D571" s="2">
        <v>1</v>
      </c>
      <c r="E571" t="str">
        <f>"4574674200965309"</f>
        <v>4574674200965309</v>
      </c>
      <c r="F571" t="str">
        <f>"802"</f>
        <v>802</v>
      </c>
      <c r="G571">
        <v>1</v>
      </c>
      <c r="H571">
        <v>2023</v>
      </c>
      <c r="I571" t="s">
        <v>686</v>
      </c>
    </row>
    <row r="572" spans="1:9" x14ac:dyDescent="0.3">
      <c r="A572" t="s">
        <v>10150</v>
      </c>
      <c r="B572" t="s">
        <v>42</v>
      </c>
      <c r="C572">
        <v>7648876604</v>
      </c>
      <c r="D572" s="2">
        <v>1</v>
      </c>
      <c r="E572" t="str">
        <f>"4574674200437689"</f>
        <v>4574674200437689</v>
      </c>
      <c r="F572" t="str">
        <f>"482"</f>
        <v>482</v>
      </c>
      <c r="G572">
        <v>1</v>
      </c>
      <c r="H572">
        <v>2023</v>
      </c>
      <c r="I572" t="s">
        <v>687</v>
      </c>
    </row>
    <row r="573" spans="1:9" x14ac:dyDescent="0.3">
      <c r="A573" t="s">
        <v>10150</v>
      </c>
      <c r="B573" t="s">
        <v>42</v>
      </c>
      <c r="C573">
        <v>7648876604</v>
      </c>
      <c r="D573" s="2">
        <v>1</v>
      </c>
      <c r="E573" t="str">
        <f>"4574674200965291"</f>
        <v>4574674200965291</v>
      </c>
      <c r="F573" t="str">
        <f>"156"</f>
        <v>156</v>
      </c>
      <c r="G573">
        <v>1</v>
      </c>
      <c r="H573">
        <v>2023</v>
      </c>
      <c r="I573" t="s">
        <v>688</v>
      </c>
    </row>
    <row r="574" spans="1:9" x14ac:dyDescent="0.3">
      <c r="A574" t="s">
        <v>10150</v>
      </c>
      <c r="B574" t="s">
        <v>42</v>
      </c>
      <c r="C574">
        <v>7648876604</v>
      </c>
      <c r="D574" s="2">
        <v>1</v>
      </c>
      <c r="E574" t="str">
        <f>"4574674200437705"</f>
        <v>4574674200437705</v>
      </c>
      <c r="F574" t="str">
        <f>"497"</f>
        <v>497</v>
      </c>
      <c r="G574">
        <v>1</v>
      </c>
      <c r="H574">
        <v>2023</v>
      </c>
      <c r="I574" t="s">
        <v>689</v>
      </c>
    </row>
    <row r="575" spans="1:9" x14ac:dyDescent="0.3">
      <c r="A575" t="s">
        <v>10150</v>
      </c>
      <c r="B575" t="s">
        <v>42</v>
      </c>
      <c r="C575">
        <v>7648876604</v>
      </c>
      <c r="D575" s="2">
        <v>1</v>
      </c>
      <c r="E575" t="str">
        <f>"4574674200965366"</f>
        <v>4574674200965366</v>
      </c>
      <c r="F575" t="str">
        <f>"686"</f>
        <v>686</v>
      </c>
      <c r="G575">
        <v>1</v>
      </c>
      <c r="H575">
        <v>2023</v>
      </c>
      <c r="I575" t="s">
        <v>690</v>
      </c>
    </row>
    <row r="576" spans="1:9" x14ac:dyDescent="0.3">
      <c r="A576" t="s">
        <v>10150</v>
      </c>
      <c r="B576" t="s">
        <v>42</v>
      </c>
      <c r="C576">
        <v>7648876604</v>
      </c>
      <c r="D576" s="2">
        <v>1</v>
      </c>
      <c r="E576" t="str">
        <f>"4574674200964328"</f>
        <v>4574674200964328</v>
      </c>
      <c r="F576" t="str">
        <f>"051"</f>
        <v>051</v>
      </c>
      <c r="G576">
        <v>1</v>
      </c>
      <c r="H576">
        <v>2023</v>
      </c>
      <c r="I576" t="s">
        <v>691</v>
      </c>
    </row>
    <row r="577" spans="1:9" x14ac:dyDescent="0.3">
      <c r="A577" t="s">
        <v>10150</v>
      </c>
      <c r="B577" t="s">
        <v>42</v>
      </c>
      <c r="C577">
        <v>7648876604</v>
      </c>
      <c r="D577" s="2">
        <v>1</v>
      </c>
      <c r="E577" t="str">
        <f>"4574674200437713"</f>
        <v>4574674200437713</v>
      </c>
      <c r="F577" t="str">
        <f>"856"</f>
        <v>856</v>
      </c>
      <c r="G577">
        <v>1</v>
      </c>
      <c r="H577">
        <v>2023</v>
      </c>
      <c r="I577" t="s">
        <v>692</v>
      </c>
    </row>
    <row r="578" spans="1:9" x14ac:dyDescent="0.3">
      <c r="A578" t="s">
        <v>10150</v>
      </c>
      <c r="B578" t="s">
        <v>42</v>
      </c>
      <c r="C578">
        <v>7648876604</v>
      </c>
      <c r="D578" s="2">
        <v>1</v>
      </c>
      <c r="E578" t="str">
        <f>"4574674200965416"</f>
        <v>4574674200965416</v>
      </c>
      <c r="F578" t="str">
        <f>"701"</f>
        <v>701</v>
      </c>
      <c r="G578">
        <v>1</v>
      </c>
      <c r="H578">
        <v>2023</v>
      </c>
      <c r="I578" t="s">
        <v>693</v>
      </c>
    </row>
    <row r="579" spans="1:9" x14ac:dyDescent="0.3">
      <c r="A579" t="s">
        <v>10150</v>
      </c>
      <c r="B579" t="s">
        <v>42</v>
      </c>
      <c r="C579">
        <v>7648876604</v>
      </c>
      <c r="D579" s="2">
        <v>1</v>
      </c>
      <c r="E579" t="str">
        <f>"4574674200438109"</f>
        <v>4574674200438109</v>
      </c>
      <c r="F579" t="str">
        <f>"222"</f>
        <v>222</v>
      </c>
      <c r="G579">
        <v>1</v>
      </c>
      <c r="H579">
        <v>2023</v>
      </c>
      <c r="I579" t="s">
        <v>694</v>
      </c>
    </row>
    <row r="580" spans="1:9" x14ac:dyDescent="0.3">
      <c r="A580" t="s">
        <v>10150</v>
      </c>
      <c r="B580" t="s">
        <v>42</v>
      </c>
      <c r="C580">
        <v>7648876604</v>
      </c>
      <c r="D580" s="2">
        <v>1</v>
      </c>
      <c r="E580" t="str">
        <f>"4574674200965390"</f>
        <v>4574674200965390</v>
      </c>
      <c r="F580" t="str">
        <f>"298"</f>
        <v>298</v>
      </c>
      <c r="G580">
        <v>1</v>
      </c>
      <c r="H580">
        <v>2023</v>
      </c>
      <c r="I580" t="s">
        <v>695</v>
      </c>
    </row>
    <row r="581" spans="1:9" x14ac:dyDescent="0.3">
      <c r="A581" t="s">
        <v>10150</v>
      </c>
      <c r="B581" t="s">
        <v>42</v>
      </c>
      <c r="C581">
        <v>7648876604</v>
      </c>
      <c r="D581" s="2">
        <v>1</v>
      </c>
      <c r="E581" t="str">
        <f>"4574674200438158"</f>
        <v>4574674200438158</v>
      </c>
      <c r="F581" t="str">
        <f>"875"</f>
        <v>875</v>
      </c>
      <c r="G581">
        <v>1</v>
      </c>
      <c r="H581">
        <v>2023</v>
      </c>
      <c r="I581" t="s">
        <v>696</v>
      </c>
    </row>
    <row r="582" spans="1:9" x14ac:dyDescent="0.3">
      <c r="A582" t="s">
        <v>10151</v>
      </c>
      <c r="B582" t="s">
        <v>43</v>
      </c>
      <c r="C582">
        <v>7648876604</v>
      </c>
      <c r="D582" s="2">
        <v>1</v>
      </c>
      <c r="E582" t="str">
        <f>"4574674200965408"</f>
        <v>4574674200965408</v>
      </c>
      <c r="F582" t="str">
        <f>"516"</f>
        <v>516</v>
      </c>
      <c r="G582">
        <v>1</v>
      </c>
      <c r="H582">
        <v>2023</v>
      </c>
      <c r="I582" t="s">
        <v>697</v>
      </c>
    </row>
    <row r="583" spans="1:9" x14ac:dyDescent="0.3">
      <c r="A583" t="s">
        <v>10151</v>
      </c>
      <c r="B583" t="s">
        <v>43</v>
      </c>
      <c r="C583">
        <v>7648876604</v>
      </c>
      <c r="D583" s="2">
        <v>1</v>
      </c>
      <c r="E583" t="str">
        <f>"4574674200438166"</f>
        <v>4574674200438166</v>
      </c>
      <c r="F583" t="str">
        <f>"775"</f>
        <v>775</v>
      </c>
      <c r="G583">
        <v>1</v>
      </c>
      <c r="H583">
        <v>2023</v>
      </c>
      <c r="I583" t="s">
        <v>698</v>
      </c>
    </row>
    <row r="584" spans="1:9" x14ac:dyDescent="0.3">
      <c r="A584" t="s">
        <v>10151</v>
      </c>
      <c r="B584" t="s">
        <v>43</v>
      </c>
      <c r="C584">
        <v>7648876604</v>
      </c>
      <c r="D584" s="2">
        <v>1</v>
      </c>
      <c r="E584" t="str">
        <f>"4574674200965465"</f>
        <v>4574674200965465</v>
      </c>
      <c r="F584" t="str">
        <f>"182"</f>
        <v>182</v>
      </c>
      <c r="G584">
        <v>1</v>
      </c>
      <c r="H584">
        <v>2023</v>
      </c>
      <c r="I584" t="s">
        <v>699</v>
      </c>
    </row>
    <row r="585" spans="1:9" x14ac:dyDescent="0.3">
      <c r="A585" t="s">
        <v>10151</v>
      </c>
      <c r="B585" t="s">
        <v>43</v>
      </c>
      <c r="C585">
        <v>7648876604</v>
      </c>
      <c r="D585" s="2">
        <v>1</v>
      </c>
      <c r="E585" t="str">
        <f>"4574674200438406"</f>
        <v>4574674200438406</v>
      </c>
      <c r="F585" t="str">
        <f>"590"</f>
        <v>590</v>
      </c>
      <c r="G585">
        <v>1</v>
      </c>
      <c r="H585">
        <v>2023</v>
      </c>
      <c r="I585" t="s">
        <v>700</v>
      </c>
    </row>
    <row r="586" spans="1:9" x14ac:dyDescent="0.3">
      <c r="A586" t="s">
        <v>10151</v>
      </c>
      <c r="B586" t="s">
        <v>43</v>
      </c>
      <c r="C586">
        <v>7648876604</v>
      </c>
      <c r="D586" s="2">
        <v>1</v>
      </c>
      <c r="E586" t="str">
        <f>"4574674200965481"</f>
        <v>4574674200965481</v>
      </c>
      <c r="F586" t="str">
        <f>"902"</f>
        <v>902</v>
      </c>
      <c r="G586">
        <v>1</v>
      </c>
      <c r="H586">
        <v>2023</v>
      </c>
      <c r="I586" t="s">
        <v>701</v>
      </c>
    </row>
    <row r="587" spans="1:9" x14ac:dyDescent="0.3">
      <c r="A587" t="s">
        <v>10151</v>
      </c>
      <c r="B587" t="s">
        <v>43</v>
      </c>
      <c r="C587">
        <v>7648876604</v>
      </c>
      <c r="D587" s="2">
        <v>1</v>
      </c>
      <c r="E587" t="str">
        <f>"4574674200965523"</f>
        <v>4574674200965523</v>
      </c>
      <c r="F587" t="str">
        <f>"580"</f>
        <v>580</v>
      </c>
      <c r="G587">
        <v>1</v>
      </c>
      <c r="H587">
        <v>2023</v>
      </c>
      <c r="I587" t="s">
        <v>702</v>
      </c>
    </row>
    <row r="588" spans="1:9" x14ac:dyDescent="0.3">
      <c r="A588" t="s">
        <v>10151</v>
      </c>
      <c r="B588" t="s">
        <v>43</v>
      </c>
      <c r="C588">
        <v>7648876604</v>
      </c>
      <c r="D588" s="2">
        <v>1</v>
      </c>
      <c r="E588" t="str">
        <f>"4574674200438414"</f>
        <v>4574674200438414</v>
      </c>
      <c r="F588" t="str">
        <f>"275"</f>
        <v>275</v>
      </c>
      <c r="G588">
        <v>1</v>
      </c>
      <c r="H588">
        <v>2023</v>
      </c>
      <c r="I588" t="s">
        <v>703</v>
      </c>
    </row>
    <row r="589" spans="1:9" x14ac:dyDescent="0.3">
      <c r="A589" t="s">
        <v>10151</v>
      </c>
      <c r="B589" t="s">
        <v>43</v>
      </c>
      <c r="C589">
        <v>7648876604</v>
      </c>
      <c r="D589" s="2">
        <v>1</v>
      </c>
      <c r="E589" t="str">
        <f>"4574674200965564"</f>
        <v>4574674200965564</v>
      </c>
      <c r="F589" t="str">
        <f>"221"</f>
        <v>221</v>
      </c>
      <c r="G589">
        <v>1</v>
      </c>
      <c r="H589">
        <v>2023</v>
      </c>
      <c r="I589" t="s">
        <v>704</v>
      </c>
    </row>
    <row r="590" spans="1:9" x14ac:dyDescent="0.3">
      <c r="A590" t="s">
        <v>10151</v>
      </c>
      <c r="B590" t="s">
        <v>43</v>
      </c>
      <c r="C590">
        <v>7648876604</v>
      </c>
      <c r="D590" s="2">
        <v>1</v>
      </c>
      <c r="E590" t="str">
        <f>"4574674200438422"</f>
        <v>4574674200438422</v>
      </c>
      <c r="F590" t="str">
        <f>"515"</f>
        <v>515</v>
      </c>
      <c r="G590">
        <v>1</v>
      </c>
      <c r="H590">
        <v>2023</v>
      </c>
      <c r="I590" t="s">
        <v>705</v>
      </c>
    </row>
    <row r="591" spans="1:9" x14ac:dyDescent="0.3">
      <c r="A591" t="s">
        <v>10151</v>
      </c>
      <c r="B591" t="s">
        <v>43</v>
      </c>
      <c r="C591">
        <v>7648876604</v>
      </c>
      <c r="D591" s="2">
        <v>1</v>
      </c>
      <c r="E591" t="str">
        <f>"4574674200965572"</f>
        <v>4574674200965572</v>
      </c>
      <c r="F591" t="str">
        <f>"685"</f>
        <v>685</v>
      </c>
      <c r="G591">
        <v>1</v>
      </c>
      <c r="H591">
        <v>2023</v>
      </c>
      <c r="I591" t="s">
        <v>706</v>
      </c>
    </row>
    <row r="592" spans="1:9" x14ac:dyDescent="0.3">
      <c r="A592" t="s">
        <v>10152</v>
      </c>
      <c r="B592" t="s">
        <v>44</v>
      </c>
      <c r="C592">
        <v>7648876604</v>
      </c>
      <c r="D592" s="2">
        <v>1</v>
      </c>
      <c r="E592" t="str">
        <f>"4574674200438281"</f>
        <v>4574674200438281</v>
      </c>
      <c r="F592" t="str">
        <f>"601"</f>
        <v>601</v>
      </c>
      <c r="G592">
        <v>1</v>
      </c>
      <c r="H592">
        <v>2023</v>
      </c>
      <c r="I592" t="s">
        <v>707</v>
      </c>
    </row>
    <row r="593" spans="1:9" x14ac:dyDescent="0.3">
      <c r="A593" t="s">
        <v>10152</v>
      </c>
      <c r="B593" t="s">
        <v>44</v>
      </c>
      <c r="C593">
        <v>7648876604</v>
      </c>
      <c r="D593" s="2">
        <v>1</v>
      </c>
      <c r="E593" t="str">
        <f>"4574674200965580"</f>
        <v>4574674200965580</v>
      </c>
      <c r="F593" t="str">
        <f>"691"</f>
        <v>691</v>
      </c>
      <c r="G593">
        <v>1</v>
      </c>
      <c r="H593">
        <v>2023</v>
      </c>
      <c r="I593" t="s">
        <v>708</v>
      </c>
    </row>
    <row r="594" spans="1:9" x14ac:dyDescent="0.3">
      <c r="A594" t="s">
        <v>10152</v>
      </c>
      <c r="B594" t="s">
        <v>44</v>
      </c>
      <c r="C594">
        <v>7648876604</v>
      </c>
      <c r="D594" s="2">
        <v>1</v>
      </c>
      <c r="E594" t="str">
        <f>"4574674200965606"</f>
        <v>4574674200965606</v>
      </c>
      <c r="F594" t="str">
        <f>"597"</f>
        <v>597</v>
      </c>
      <c r="G594">
        <v>1</v>
      </c>
      <c r="H594">
        <v>2023</v>
      </c>
      <c r="I594" t="s">
        <v>709</v>
      </c>
    </row>
    <row r="595" spans="1:9" x14ac:dyDescent="0.3">
      <c r="A595" t="s">
        <v>10152</v>
      </c>
      <c r="B595" t="s">
        <v>44</v>
      </c>
      <c r="C595">
        <v>7648876604</v>
      </c>
      <c r="D595" s="2">
        <v>1</v>
      </c>
      <c r="E595" t="str">
        <f>"4574674200965697"</f>
        <v>4574674200965697</v>
      </c>
      <c r="F595" t="str">
        <f>"705"</f>
        <v>705</v>
      </c>
      <c r="G595">
        <v>1</v>
      </c>
      <c r="H595">
        <v>2023</v>
      </c>
      <c r="I595" t="s">
        <v>710</v>
      </c>
    </row>
    <row r="596" spans="1:9" x14ac:dyDescent="0.3">
      <c r="A596" t="s">
        <v>10152</v>
      </c>
      <c r="B596" t="s">
        <v>44</v>
      </c>
      <c r="C596">
        <v>7648876604</v>
      </c>
      <c r="D596" s="2">
        <v>1</v>
      </c>
      <c r="E596" t="str">
        <f>"4574674200438331"</f>
        <v>4574674200438331</v>
      </c>
      <c r="F596" t="str">
        <f>"492"</f>
        <v>492</v>
      </c>
      <c r="G596">
        <v>1</v>
      </c>
      <c r="H596">
        <v>2023</v>
      </c>
      <c r="I596" t="s">
        <v>711</v>
      </c>
    </row>
    <row r="597" spans="1:9" x14ac:dyDescent="0.3">
      <c r="A597" t="s">
        <v>10152</v>
      </c>
      <c r="B597" t="s">
        <v>44</v>
      </c>
      <c r="C597">
        <v>7648876604</v>
      </c>
      <c r="D597" s="2">
        <v>1</v>
      </c>
      <c r="E597" t="str">
        <f>"4574674200965713"</f>
        <v>4574674200965713</v>
      </c>
      <c r="F597" t="str">
        <f>"485"</f>
        <v>485</v>
      </c>
      <c r="G597">
        <v>1</v>
      </c>
      <c r="H597">
        <v>2023</v>
      </c>
      <c r="I597" t="s">
        <v>712</v>
      </c>
    </row>
    <row r="598" spans="1:9" x14ac:dyDescent="0.3">
      <c r="A598" t="s">
        <v>10152</v>
      </c>
      <c r="B598" t="s">
        <v>44</v>
      </c>
      <c r="C598">
        <v>7648876604</v>
      </c>
      <c r="D598" s="2">
        <v>1</v>
      </c>
      <c r="E598" t="str">
        <f>"4574674200965721"</f>
        <v>4574674200965721</v>
      </c>
      <c r="F598" t="str">
        <f>"981"</f>
        <v>981</v>
      </c>
      <c r="G598">
        <v>1</v>
      </c>
      <c r="H598">
        <v>2023</v>
      </c>
      <c r="I598" t="s">
        <v>713</v>
      </c>
    </row>
    <row r="599" spans="1:9" x14ac:dyDescent="0.3">
      <c r="A599" t="s">
        <v>10152</v>
      </c>
      <c r="B599" t="s">
        <v>44</v>
      </c>
      <c r="C599">
        <v>7648876604</v>
      </c>
      <c r="D599" s="2">
        <v>1</v>
      </c>
      <c r="E599" t="str">
        <f>"4574674200438349"</f>
        <v>4574674200438349</v>
      </c>
      <c r="F599" t="str">
        <f>"951"</f>
        <v>951</v>
      </c>
      <c r="G599">
        <v>1</v>
      </c>
      <c r="H599">
        <v>2023</v>
      </c>
      <c r="I599" t="s">
        <v>714</v>
      </c>
    </row>
    <row r="600" spans="1:9" x14ac:dyDescent="0.3">
      <c r="A600" t="s">
        <v>10152</v>
      </c>
      <c r="B600" t="s">
        <v>44</v>
      </c>
      <c r="C600">
        <v>7648876604</v>
      </c>
      <c r="D600" s="2">
        <v>1</v>
      </c>
      <c r="E600" t="str">
        <f>"4574674200965747"</f>
        <v>4574674200965747</v>
      </c>
      <c r="F600" t="str">
        <f>"217"</f>
        <v>217</v>
      </c>
      <c r="G600">
        <v>1</v>
      </c>
      <c r="H600">
        <v>2023</v>
      </c>
      <c r="I600" t="s">
        <v>715</v>
      </c>
    </row>
    <row r="601" spans="1:9" x14ac:dyDescent="0.3">
      <c r="A601" t="s">
        <v>10152</v>
      </c>
      <c r="B601" t="s">
        <v>44</v>
      </c>
      <c r="C601">
        <v>7648876604</v>
      </c>
      <c r="D601" s="2">
        <v>1</v>
      </c>
      <c r="E601" t="str">
        <f>"4574674200964369"</f>
        <v>4574674200964369</v>
      </c>
      <c r="F601" t="str">
        <f>"371"</f>
        <v>371</v>
      </c>
      <c r="G601">
        <v>1</v>
      </c>
      <c r="H601">
        <v>2023</v>
      </c>
      <c r="I601" t="s">
        <v>716</v>
      </c>
    </row>
    <row r="602" spans="1:9" x14ac:dyDescent="0.3">
      <c r="A602" t="s">
        <v>10162</v>
      </c>
      <c r="B602" t="s">
        <v>54</v>
      </c>
      <c r="C602">
        <v>8989697390</v>
      </c>
      <c r="D602" s="2">
        <v>1</v>
      </c>
      <c r="E602" t="str">
        <f>"4574674200438356"</f>
        <v>4574674200438356</v>
      </c>
      <c r="F602" t="str">
        <f>"281"</f>
        <v>281</v>
      </c>
      <c r="G602">
        <v>1</v>
      </c>
      <c r="H602">
        <v>2023</v>
      </c>
      <c r="I602" t="s">
        <v>717</v>
      </c>
    </row>
    <row r="603" spans="1:9" x14ac:dyDescent="0.3">
      <c r="A603" t="s">
        <v>10162</v>
      </c>
      <c r="B603" t="s">
        <v>54</v>
      </c>
      <c r="C603">
        <v>8989697390</v>
      </c>
      <c r="D603" s="2">
        <v>1</v>
      </c>
      <c r="E603" t="str">
        <f>"4574674200438489"</f>
        <v>4574674200438489</v>
      </c>
      <c r="F603" t="str">
        <f>"160"</f>
        <v>160</v>
      </c>
      <c r="G603">
        <v>1</v>
      </c>
      <c r="H603">
        <v>2023</v>
      </c>
      <c r="I603" t="s">
        <v>718</v>
      </c>
    </row>
    <row r="604" spans="1:9" x14ac:dyDescent="0.3">
      <c r="A604" t="s">
        <v>10162</v>
      </c>
      <c r="B604" t="s">
        <v>54</v>
      </c>
      <c r="C604">
        <v>8989697390</v>
      </c>
      <c r="D604" s="2">
        <v>1</v>
      </c>
      <c r="E604" t="str">
        <f>"4574674200965754"</f>
        <v>4574674200965754</v>
      </c>
      <c r="F604" t="str">
        <f>"655"</f>
        <v>655</v>
      </c>
      <c r="G604">
        <v>1</v>
      </c>
      <c r="H604">
        <v>2023</v>
      </c>
      <c r="I604" t="s">
        <v>719</v>
      </c>
    </row>
    <row r="605" spans="1:9" x14ac:dyDescent="0.3">
      <c r="A605" t="s">
        <v>10162</v>
      </c>
      <c r="B605" t="s">
        <v>54</v>
      </c>
      <c r="C605">
        <v>8989697390</v>
      </c>
      <c r="D605" s="2">
        <v>1</v>
      </c>
      <c r="E605" t="str">
        <f>"4574674200438646"</f>
        <v>4574674200438646</v>
      </c>
      <c r="F605" t="str">
        <f>"561"</f>
        <v>561</v>
      </c>
      <c r="G605">
        <v>1</v>
      </c>
      <c r="H605">
        <v>2023</v>
      </c>
      <c r="I605" t="s">
        <v>720</v>
      </c>
    </row>
    <row r="606" spans="1:9" x14ac:dyDescent="0.3">
      <c r="A606" t="s">
        <v>10162</v>
      </c>
      <c r="B606" t="s">
        <v>54</v>
      </c>
      <c r="C606">
        <v>8989697390</v>
      </c>
      <c r="D606" s="2">
        <v>1</v>
      </c>
      <c r="E606" t="str">
        <f>"4574674200965796"</f>
        <v>4574674200965796</v>
      </c>
      <c r="F606" t="str">
        <f>"882"</f>
        <v>882</v>
      </c>
      <c r="G606">
        <v>1</v>
      </c>
      <c r="H606">
        <v>2023</v>
      </c>
      <c r="I606" t="s">
        <v>721</v>
      </c>
    </row>
    <row r="607" spans="1:9" x14ac:dyDescent="0.3">
      <c r="A607" t="s">
        <v>10162</v>
      </c>
      <c r="B607" t="s">
        <v>54</v>
      </c>
      <c r="C607">
        <v>8989697390</v>
      </c>
      <c r="D607" s="2">
        <v>1</v>
      </c>
      <c r="E607" t="str">
        <f>"4574674200438539"</f>
        <v>4574674200438539</v>
      </c>
      <c r="F607" t="str">
        <f>"755"</f>
        <v>755</v>
      </c>
      <c r="G607">
        <v>1</v>
      </c>
      <c r="H607">
        <v>2023</v>
      </c>
      <c r="I607" t="s">
        <v>722</v>
      </c>
    </row>
    <row r="608" spans="1:9" x14ac:dyDescent="0.3">
      <c r="A608" t="s">
        <v>10162</v>
      </c>
      <c r="B608" t="s">
        <v>54</v>
      </c>
      <c r="C608">
        <v>8989697390</v>
      </c>
      <c r="D608" s="2">
        <v>1</v>
      </c>
      <c r="E608" t="str">
        <f>"4574674200965861"</f>
        <v>4574674200965861</v>
      </c>
      <c r="F608" t="str">
        <f>"986"</f>
        <v>986</v>
      </c>
      <c r="G608">
        <v>1</v>
      </c>
      <c r="H608">
        <v>2023</v>
      </c>
      <c r="I608" t="s">
        <v>723</v>
      </c>
    </row>
    <row r="609" spans="1:9" x14ac:dyDescent="0.3">
      <c r="A609" t="s">
        <v>10162</v>
      </c>
      <c r="B609" t="s">
        <v>54</v>
      </c>
      <c r="C609">
        <v>8989697390</v>
      </c>
      <c r="D609" s="2">
        <v>1</v>
      </c>
      <c r="E609" t="str">
        <f>"4574674200438653"</f>
        <v>4574674200438653</v>
      </c>
      <c r="F609" t="str">
        <f>"190"</f>
        <v>190</v>
      </c>
      <c r="G609">
        <v>1</v>
      </c>
      <c r="H609">
        <v>2023</v>
      </c>
      <c r="I609" t="s">
        <v>724</v>
      </c>
    </row>
    <row r="610" spans="1:9" x14ac:dyDescent="0.3">
      <c r="A610" t="s">
        <v>10162</v>
      </c>
      <c r="B610" t="s">
        <v>54</v>
      </c>
      <c r="C610">
        <v>8989697390</v>
      </c>
      <c r="D610" s="2">
        <v>1</v>
      </c>
      <c r="E610" t="str">
        <f>"4574674200965879"</f>
        <v>4574674200965879</v>
      </c>
      <c r="F610" t="str">
        <f>"275"</f>
        <v>275</v>
      </c>
      <c r="G610">
        <v>1</v>
      </c>
      <c r="H610">
        <v>2023</v>
      </c>
      <c r="I610" t="s">
        <v>725</v>
      </c>
    </row>
    <row r="611" spans="1:9" x14ac:dyDescent="0.3">
      <c r="A611" t="s">
        <v>10162</v>
      </c>
      <c r="B611" t="s">
        <v>54</v>
      </c>
      <c r="C611">
        <v>8989697390</v>
      </c>
      <c r="D611" s="2">
        <v>1</v>
      </c>
      <c r="E611" t="str">
        <f>"4574674200438695"</f>
        <v>4574674200438695</v>
      </c>
      <c r="F611" t="str">
        <f>"897"</f>
        <v>897</v>
      </c>
      <c r="G611">
        <v>1</v>
      </c>
      <c r="H611">
        <v>2023</v>
      </c>
      <c r="I611" t="s">
        <v>726</v>
      </c>
    </row>
    <row r="612" spans="1:9" x14ac:dyDescent="0.3">
      <c r="A612" t="s">
        <v>10140</v>
      </c>
      <c r="B612" t="s">
        <v>55</v>
      </c>
      <c r="C612">
        <v>8989697390</v>
      </c>
      <c r="D612" s="2">
        <v>1</v>
      </c>
      <c r="E612" t="str">
        <f>"4574674200965903"</f>
        <v>4574674200965903</v>
      </c>
      <c r="F612" t="str">
        <f>"690"</f>
        <v>690</v>
      </c>
      <c r="G612">
        <v>1</v>
      </c>
      <c r="H612">
        <v>2023</v>
      </c>
      <c r="I612" t="s">
        <v>727</v>
      </c>
    </row>
    <row r="613" spans="1:9" x14ac:dyDescent="0.3">
      <c r="A613" t="s">
        <v>10140</v>
      </c>
      <c r="B613" t="s">
        <v>55</v>
      </c>
      <c r="C613">
        <v>8989697390</v>
      </c>
      <c r="D613" s="2">
        <v>1</v>
      </c>
      <c r="E613" t="str">
        <f>"4574674200438703"</f>
        <v>4574674200438703</v>
      </c>
      <c r="F613" t="str">
        <f>"952"</f>
        <v>952</v>
      </c>
      <c r="G613">
        <v>1</v>
      </c>
      <c r="H613">
        <v>2023</v>
      </c>
      <c r="I613" t="s">
        <v>728</v>
      </c>
    </row>
    <row r="614" spans="1:9" x14ac:dyDescent="0.3">
      <c r="A614" t="s">
        <v>10140</v>
      </c>
      <c r="B614" t="s">
        <v>55</v>
      </c>
      <c r="C614">
        <v>8989697390</v>
      </c>
      <c r="D614" s="2">
        <v>1</v>
      </c>
      <c r="E614" t="str">
        <f>"4574674200965911"</f>
        <v>4574674200965911</v>
      </c>
      <c r="F614" t="str">
        <f>"587"</f>
        <v>587</v>
      </c>
      <c r="G614">
        <v>1</v>
      </c>
      <c r="H614">
        <v>2023</v>
      </c>
      <c r="I614" t="s">
        <v>729</v>
      </c>
    </row>
    <row r="615" spans="1:9" x14ac:dyDescent="0.3">
      <c r="A615" t="s">
        <v>10140</v>
      </c>
      <c r="B615" t="s">
        <v>55</v>
      </c>
      <c r="C615">
        <v>8989697390</v>
      </c>
      <c r="D615" s="2">
        <v>1</v>
      </c>
      <c r="E615" t="str">
        <f>"4574674200438745"</f>
        <v>4574674200438745</v>
      </c>
      <c r="F615" t="str">
        <f>"470"</f>
        <v>470</v>
      </c>
      <c r="G615">
        <v>1</v>
      </c>
      <c r="H615">
        <v>2023</v>
      </c>
      <c r="I615" t="s">
        <v>730</v>
      </c>
    </row>
    <row r="616" spans="1:9" x14ac:dyDescent="0.3">
      <c r="A616" t="s">
        <v>10140</v>
      </c>
      <c r="B616" t="s">
        <v>55</v>
      </c>
      <c r="C616">
        <v>8989697390</v>
      </c>
      <c r="D616" s="2">
        <v>1</v>
      </c>
      <c r="E616" t="str">
        <f>"4574674200965937"</f>
        <v>4574674200965937</v>
      </c>
      <c r="F616" t="str">
        <f>"727"</f>
        <v>727</v>
      </c>
      <c r="G616">
        <v>1</v>
      </c>
      <c r="H616">
        <v>2023</v>
      </c>
      <c r="I616" t="s">
        <v>731</v>
      </c>
    </row>
    <row r="617" spans="1:9" x14ac:dyDescent="0.3">
      <c r="A617" t="s">
        <v>10140</v>
      </c>
      <c r="B617" t="s">
        <v>55</v>
      </c>
      <c r="C617">
        <v>8989697390</v>
      </c>
      <c r="D617" s="2">
        <v>1</v>
      </c>
      <c r="E617" t="str">
        <f>"4574674200966000"</f>
        <v>4574674200966000</v>
      </c>
      <c r="F617" t="str">
        <f>"756"</f>
        <v>756</v>
      </c>
      <c r="G617">
        <v>1</v>
      </c>
      <c r="H617">
        <v>2023</v>
      </c>
      <c r="I617" t="s">
        <v>732</v>
      </c>
    </row>
    <row r="618" spans="1:9" x14ac:dyDescent="0.3">
      <c r="A618" t="s">
        <v>10140</v>
      </c>
      <c r="B618" t="s">
        <v>55</v>
      </c>
      <c r="C618">
        <v>8989697390</v>
      </c>
      <c r="D618" s="2">
        <v>1</v>
      </c>
      <c r="E618" t="str">
        <f>"4574674200438786"</f>
        <v>4574674200438786</v>
      </c>
      <c r="F618" t="str">
        <f>"020"</f>
        <v>020</v>
      </c>
      <c r="G618">
        <v>1</v>
      </c>
      <c r="H618">
        <v>2023</v>
      </c>
      <c r="I618" t="s">
        <v>733</v>
      </c>
    </row>
    <row r="619" spans="1:9" x14ac:dyDescent="0.3">
      <c r="A619" t="s">
        <v>10140</v>
      </c>
      <c r="B619" t="s">
        <v>55</v>
      </c>
      <c r="C619">
        <v>8989697390</v>
      </c>
      <c r="D619" s="2">
        <v>1</v>
      </c>
      <c r="E619" t="str">
        <f>"4574674200965994"</f>
        <v>4574674200965994</v>
      </c>
      <c r="F619" t="str">
        <f>"238"</f>
        <v>238</v>
      </c>
      <c r="G619">
        <v>1</v>
      </c>
      <c r="H619">
        <v>2023</v>
      </c>
      <c r="I619" t="s">
        <v>734</v>
      </c>
    </row>
    <row r="620" spans="1:9" x14ac:dyDescent="0.3">
      <c r="A620" t="s">
        <v>10140</v>
      </c>
      <c r="B620" t="s">
        <v>55</v>
      </c>
      <c r="C620">
        <v>8989697390</v>
      </c>
      <c r="D620" s="2">
        <v>1</v>
      </c>
      <c r="E620" t="str">
        <f>"4574674200438588"</f>
        <v>4574674200438588</v>
      </c>
      <c r="F620" t="str">
        <f>"455"</f>
        <v>455</v>
      </c>
      <c r="G620">
        <v>1</v>
      </c>
      <c r="H620">
        <v>2023</v>
      </c>
      <c r="I620" t="s">
        <v>735</v>
      </c>
    </row>
    <row r="621" spans="1:9" x14ac:dyDescent="0.3">
      <c r="A621" t="s">
        <v>10140</v>
      </c>
      <c r="B621" t="s">
        <v>55</v>
      </c>
      <c r="C621">
        <v>8989697390</v>
      </c>
      <c r="D621" s="2">
        <v>1</v>
      </c>
      <c r="E621" t="str">
        <f>"4574674200966059"</f>
        <v>4574674200966059</v>
      </c>
      <c r="F621" t="str">
        <f>"162"</f>
        <v>162</v>
      </c>
      <c r="G621">
        <v>1</v>
      </c>
      <c r="H621">
        <v>2023</v>
      </c>
      <c r="I621" t="s">
        <v>736</v>
      </c>
    </row>
    <row r="622" spans="1:9" x14ac:dyDescent="0.3">
      <c r="A622" t="s">
        <v>10133</v>
      </c>
      <c r="B622" t="s">
        <v>56</v>
      </c>
      <c r="C622">
        <v>8989697390</v>
      </c>
      <c r="D622" s="2">
        <v>1</v>
      </c>
      <c r="E622" t="str">
        <f>"4574674200966208"</f>
        <v>4574674200966208</v>
      </c>
      <c r="F622" t="str">
        <f>"904"</f>
        <v>904</v>
      </c>
      <c r="G622">
        <v>1</v>
      </c>
      <c r="H622">
        <v>2023</v>
      </c>
      <c r="I622" t="s">
        <v>737</v>
      </c>
    </row>
    <row r="623" spans="1:9" x14ac:dyDescent="0.3">
      <c r="A623" t="s">
        <v>10133</v>
      </c>
      <c r="B623" t="s">
        <v>56</v>
      </c>
      <c r="C623">
        <v>8989697390</v>
      </c>
      <c r="D623" s="2">
        <v>1</v>
      </c>
      <c r="E623" t="str">
        <f>"4574674200438828"</f>
        <v>4574674200438828</v>
      </c>
      <c r="F623" t="str">
        <f>"412"</f>
        <v>412</v>
      </c>
      <c r="G623">
        <v>1</v>
      </c>
      <c r="H623">
        <v>2023</v>
      </c>
      <c r="I623" t="s">
        <v>738</v>
      </c>
    </row>
    <row r="624" spans="1:9" x14ac:dyDescent="0.3">
      <c r="A624" t="s">
        <v>10133</v>
      </c>
      <c r="B624" t="s">
        <v>56</v>
      </c>
      <c r="C624">
        <v>8989697390</v>
      </c>
      <c r="D624" s="2">
        <v>1</v>
      </c>
      <c r="E624" t="str">
        <f>"4574674200966075"</f>
        <v>4574674200966075</v>
      </c>
      <c r="F624" t="str">
        <f>"749"</f>
        <v>749</v>
      </c>
      <c r="G624">
        <v>1</v>
      </c>
      <c r="H624">
        <v>2023</v>
      </c>
      <c r="I624" t="s">
        <v>739</v>
      </c>
    </row>
    <row r="625" spans="1:9" x14ac:dyDescent="0.3">
      <c r="A625" t="s">
        <v>10133</v>
      </c>
      <c r="B625" t="s">
        <v>56</v>
      </c>
      <c r="C625">
        <v>8989697390</v>
      </c>
      <c r="D625" s="2">
        <v>1</v>
      </c>
      <c r="E625" t="str">
        <f>"4574674200438893"</f>
        <v>4574674200438893</v>
      </c>
      <c r="F625" t="str">
        <f>"736"</f>
        <v>736</v>
      </c>
      <c r="G625">
        <v>1</v>
      </c>
      <c r="H625">
        <v>2023</v>
      </c>
      <c r="I625" t="s">
        <v>740</v>
      </c>
    </row>
    <row r="626" spans="1:9" x14ac:dyDescent="0.3">
      <c r="A626" t="s">
        <v>10133</v>
      </c>
      <c r="B626" t="s">
        <v>56</v>
      </c>
      <c r="C626">
        <v>8989697390</v>
      </c>
      <c r="D626" s="2">
        <v>1</v>
      </c>
      <c r="E626" t="str">
        <f>"4574674200966125"</f>
        <v>4574674200966125</v>
      </c>
      <c r="F626" t="str">
        <f>"250"</f>
        <v>250</v>
      </c>
      <c r="G626">
        <v>1</v>
      </c>
      <c r="H626">
        <v>2023</v>
      </c>
      <c r="I626" t="s">
        <v>741</v>
      </c>
    </row>
    <row r="627" spans="1:9" x14ac:dyDescent="0.3">
      <c r="A627" t="s">
        <v>10133</v>
      </c>
      <c r="B627" t="s">
        <v>56</v>
      </c>
      <c r="C627">
        <v>8989697390</v>
      </c>
      <c r="D627" s="2">
        <v>1</v>
      </c>
      <c r="E627" t="str">
        <f>"4574674200438851"</f>
        <v>4574674200438851</v>
      </c>
      <c r="F627" t="str">
        <f>"245"</f>
        <v>245</v>
      </c>
      <c r="G627">
        <v>1</v>
      </c>
      <c r="H627">
        <v>2023</v>
      </c>
      <c r="I627" t="s">
        <v>742</v>
      </c>
    </row>
    <row r="628" spans="1:9" x14ac:dyDescent="0.3">
      <c r="A628" t="s">
        <v>10133</v>
      </c>
      <c r="B628" t="s">
        <v>56</v>
      </c>
      <c r="C628">
        <v>8989697390</v>
      </c>
      <c r="D628" s="2">
        <v>1</v>
      </c>
      <c r="E628" t="str">
        <f>"4574674200966109"</f>
        <v>4574674200966109</v>
      </c>
      <c r="F628" t="str">
        <f>"132"</f>
        <v>132</v>
      </c>
      <c r="G628">
        <v>1</v>
      </c>
      <c r="H628">
        <v>2023</v>
      </c>
      <c r="I628" t="s">
        <v>743</v>
      </c>
    </row>
    <row r="629" spans="1:9" x14ac:dyDescent="0.3">
      <c r="A629" t="s">
        <v>10133</v>
      </c>
      <c r="B629" t="s">
        <v>56</v>
      </c>
      <c r="C629">
        <v>8989697390</v>
      </c>
      <c r="D629" s="2">
        <v>1</v>
      </c>
      <c r="E629" t="str">
        <f>"4574674200966166"</f>
        <v>4574674200966166</v>
      </c>
      <c r="F629" t="str">
        <f>"782"</f>
        <v>782</v>
      </c>
      <c r="G629">
        <v>1</v>
      </c>
      <c r="H629">
        <v>2023</v>
      </c>
      <c r="I629" t="s">
        <v>744</v>
      </c>
    </row>
    <row r="630" spans="1:9" x14ac:dyDescent="0.3">
      <c r="A630" t="s">
        <v>10133</v>
      </c>
      <c r="B630" t="s">
        <v>56</v>
      </c>
      <c r="C630">
        <v>8989697390</v>
      </c>
      <c r="D630" s="2">
        <v>1</v>
      </c>
      <c r="E630" t="str">
        <f>"4574674200966174"</f>
        <v>4574674200966174</v>
      </c>
      <c r="F630" t="str">
        <f>"189"</f>
        <v>189</v>
      </c>
      <c r="G630">
        <v>1</v>
      </c>
      <c r="H630">
        <v>2023</v>
      </c>
      <c r="I630" t="s">
        <v>745</v>
      </c>
    </row>
    <row r="631" spans="1:9" x14ac:dyDescent="0.3">
      <c r="A631" t="s">
        <v>10133</v>
      </c>
      <c r="B631" t="s">
        <v>56</v>
      </c>
      <c r="C631">
        <v>8989697390</v>
      </c>
      <c r="D631" s="2">
        <v>1</v>
      </c>
      <c r="E631" t="str">
        <f>"4574674200439032"</f>
        <v>4574674200439032</v>
      </c>
      <c r="F631" t="str">
        <f>"621"</f>
        <v>621</v>
      </c>
      <c r="G631">
        <v>1</v>
      </c>
      <c r="H631">
        <v>2023</v>
      </c>
      <c r="I631" t="s">
        <v>746</v>
      </c>
    </row>
    <row r="632" spans="1:9" x14ac:dyDescent="0.3">
      <c r="A632" t="s">
        <v>10163</v>
      </c>
      <c r="B632" t="s">
        <v>57</v>
      </c>
      <c r="C632">
        <v>8989697390</v>
      </c>
      <c r="D632" s="2">
        <v>1</v>
      </c>
      <c r="E632" t="str">
        <f>"4574674200966414"</f>
        <v>4574674200966414</v>
      </c>
      <c r="F632" t="str">
        <f>"109"</f>
        <v>109</v>
      </c>
      <c r="G632">
        <v>1</v>
      </c>
      <c r="H632">
        <v>2023</v>
      </c>
      <c r="I632" t="s">
        <v>747</v>
      </c>
    </row>
    <row r="633" spans="1:9" x14ac:dyDescent="0.3">
      <c r="A633" t="s">
        <v>10163</v>
      </c>
      <c r="B633" t="s">
        <v>57</v>
      </c>
      <c r="C633">
        <v>8989697390</v>
      </c>
      <c r="D633" s="2">
        <v>1</v>
      </c>
      <c r="E633" t="str">
        <f>"4574674200966448"</f>
        <v>4574674200966448</v>
      </c>
      <c r="F633" t="str">
        <f>"589"</f>
        <v>589</v>
      </c>
      <c r="G633">
        <v>1</v>
      </c>
      <c r="H633">
        <v>2023</v>
      </c>
      <c r="I633" t="s">
        <v>748</v>
      </c>
    </row>
    <row r="634" spans="1:9" x14ac:dyDescent="0.3">
      <c r="A634" t="s">
        <v>10163</v>
      </c>
      <c r="B634" t="s">
        <v>57</v>
      </c>
      <c r="C634">
        <v>8989697390</v>
      </c>
      <c r="D634" s="2">
        <v>1</v>
      </c>
      <c r="E634" t="str">
        <f>"4574674200966463"</f>
        <v>4574674200966463</v>
      </c>
      <c r="F634" t="str">
        <f>"015"</f>
        <v>015</v>
      </c>
      <c r="G634">
        <v>1</v>
      </c>
      <c r="H634">
        <v>2023</v>
      </c>
      <c r="I634" t="s">
        <v>749</v>
      </c>
    </row>
    <row r="635" spans="1:9" x14ac:dyDescent="0.3">
      <c r="A635" t="s">
        <v>10163</v>
      </c>
      <c r="B635" t="s">
        <v>57</v>
      </c>
      <c r="C635">
        <v>8989697390</v>
      </c>
      <c r="D635" s="2">
        <v>1</v>
      </c>
      <c r="E635" t="str">
        <f>"4574674200438976"</f>
        <v>4574674200438976</v>
      </c>
      <c r="F635" t="str">
        <f>"896"</f>
        <v>896</v>
      </c>
      <c r="G635">
        <v>1</v>
      </c>
      <c r="H635">
        <v>2023</v>
      </c>
      <c r="I635" t="s">
        <v>750</v>
      </c>
    </row>
    <row r="636" spans="1:9" x14ac:dyDescent="0.3">
      <c r="A636" t="s">
        <v>10163</v>
      </c>
      <c r="B636" t="s">
        <v>57</v>
      </c>
      <c r="C636">
        <v>8989697390</v>
      </c>
      <c r="D636" s="2">
        <v>1</v>
      </c>
      <c r="E636" t="str">
        <f>"4574674200966505"</f>
        <v>4574674200966505</v>
      </c>
      <c r="F636" t="str">
        <f>"846"</f>
        <v>846</v>
      </c>
      <c r="G636">
        <v>1</v>
      </c>
      <c r="H636">
        <v>2023</v>
      </c>
      <c r="I636" t="s">
        <v>751</v>
      </c>
    </row>
    <row r="637" spans="1:9" x14ac:dyDescent="0.3">
      <c r="A637" t="s">
        <v>10163</v>
      </c>
      <c r="B637" t="s">
        <v>57</v>
      </c>
      <c r="C637">
        <v>8989697390</v>
      </c>
      <c r="D637" s="2">
        <v>1</v>
      </c>
      <c r="E637" t="str">
        <f>"4574674200966489"</f>
        <v>4574674200966489</v>
      </c>
      <c r="F637" t="str">
        <f>"956"</f>
        <v>956</v>
      </c>
      <c r="G637">
        <v>1</v>
      </c>
      <c r="H637">
        <v>2023</v>
      </c>
      <c r="I637" t="s">
        <v>752</v>
      </c>
    </row>
    <row r="638" spans="1:9" x14ac:dyDescent="0.3">
      <c r="A638" t="s">
        <v>10163</v>
      </c>
      <c r="B638" t="s">
        <v>57</v>
      </c>
      <c r="C638">
        <v>8989697390</v>
      </c>
      <c r="D638" s="2">
        <v>1</v>
      </c>
      <c r="E638" t="str">
        <f>"4574674200439057"</f>
        <v>4574674200439057</v>
      </c>
      <c r="F638" t="str">
        <f>"687"</f>
        <v>687</v>
      </c>
      <c r="G638">
        <v>1</v>
      </c>
      <c r="H638">
        <v>2023</v>
      </c>
      <c r="I638" t="s">
        <v>753</v>
      </c>
    </row>
    <row r="639" spans="1:9" x14ac:dyDescent="0.3">
      <c r="A639" t="s">
        <v>10163</v>
      </c>
      <c r="B639" t="s">
        <v>57</v>
      </c>
      <c r="C639">
        <v>8989697390</v>
      </c>
      <c r="D639" s="2">
        <v>1</v>
      </c>
      <c r="E639" t="str">
        <f>"4574674200966521"</f>
        <v>4574674200966521</v>
      </c>
      <c r="F639" t="str">
        <f>"656"</f>
        <v>656</v>
      </c>
      <c r="G639">
        <v>1</v>
      </c>
      <c r="H639">
        <v>2023</v>
      </c>
      <c r="I639" t="s">
        <v>754</v>
      </c>
    </row>
    <row r="640" spans="1:9" x14ac:dyDescent="0.3">
      <c r="A640" t="s">
        <v>10163</v>
      </c>
      <c r="B640" t="s">
        <v>57</v>
      </c>
      <c r="C640">
        <v>8989697390</v>
      </c>
      <c r="D640" s="2">
        <v>1</v>
      </c>
      <c r="E640" t="str">
        <f>"4574674200966588"</f>
        <v>4574674200966588</v>
      </c>
      <c r="F640" t="str">
        <f>"619"</f>
        <v>619</v>
      </c>
      <c r="G640">
        <v>1</v>
      </c>
      <c r="H640">
        <v>2023</v>
      </c>
      <c r="I640" t="s">
        <v>755</v>
      </c>
    </row>
    <row r="641" spans="1:9" x14ac:dyDescent="0.3">
      <c r="A641" t="s">
        <v>10163</v>
      </c>
      <c r="B641" t="s">
        <v>57</v>
      </c>
      <c r="C641">
        <v>8989697390</v>
      </c>
      <c r="D641" s="2">
        <v>1</v>
      </c>
      <c r="E641" t="str">
        <f>"4574674200966612"</f>
        <v>4574674200966612</v>
      </c>
      <c r="F641" t="str">
        <f>"240"</f>
        <v>240</v>
      </c>
      <c r="G641">
        <v>1</v>
      </c>
      <c r="H641">
        <v>2023</v>
      </c>
      <c r="I641" t="s">
        <v>756</v>
      </c>
    </row>
    <row r="642" spans="1:9" x14ac:dyDescent="0.3">
      <c r="A642" t="s">
        <v>10164</v>
      </c>
      <c r="B642" t="s">
        <v>58</v>
      </c>
      <c r="C642">
        <v>8989697390</v>
      </c>
      <c r="D642" s="2">
        <v>1</v>
      </c>
      <c r="E642" t="str">
        <f>"4574674200966653"</f>
        <v>4574674200966653</v>
      </c>
      <c r="F642" t="str">
        <f>"431"</f>
        <v>431</v>
      </c>
      <c r="G642">
        <v>1</v>
      </c>
      <c r="H642">
        <v>2023</v>
      </c>
      <c r="I642" t="s">
        <v>757</v>
      </c>
    </row>
    <row r="643" spans="1:9" x14ac:dyDescent="0.3">
      <c r="A643" t="s">
        <v>10164</v>
      </c>
      <c r="B643" t="s">
        <v>58</v>
      </c>
      <c r="C643">
        <v>8989697390</v>
      </c>
      <c r="D643" s="2">
        <v>1</v>
      </c>
      <c r="E643" t="str">
        <f>"4574674200439099"</f>
        <v>4574674200439099</v>
      </c>
      <c r="F643" t="str">
        <f>"587"</f>
        <v>587</v>
      </c>
      <c r="G643">
        <v>1</v>
      </c>
      <c r="H643">
        <v>2023</v>
      </c>
      <c r="I643" t="s">
        <v>758</v>
      </c>
    </row>
    <row r="644" spans="1:9" x14ac:dyDescent="0.3">
      <c r="A644" t="s">
        <v>10164</v>
      </c>
      <c r="B644" t="s">
        <v>58</v>
      </c>
      <c r="C644">
        <v>8989697390</v>
      </c>
      <c r="D644" s="2">
        <v>1</v>
      </c>
      <c r="E644" t="str">
        <f>"4574674200966679"</f>
        <v>4574674200966679</v>
      </c>
      <c r="F644" t="str">
        <f>"832"</f>
        <v>832</v>
      </c>
      <c r="G644">
        <v>1</v>
      </c>
      <c r="H644">
        <v>2023</v>
      </c>
      <c r="I644" t="s">
        <v>759</v>
      </c>
    </row>
    <row r="645" spans="1:9" x14ac:dyDescent="0.3">
      <c r="A645" t="s">
        <v>10164</v>
      </c>
      <c r="B645" t="s">
        <v>58</v>
      </c>
      <c r="C645">
        <v>8989697390</v>
      </c>
      <c r="D645" s="2">
        <v>1</v>
      </c>
      <c r="E645" t="str">
        <f>"4574674200966695"</f>
        <v>4574674200966695</v>
      </c>
      <c r="F645" t="str">
        <f>"310"</f>
        <v>310</v>
      </c>
      <c r="G645">
        <v>1</v>
      </c>
      <c r="H645">
        <v>2023</v>
      </c>
      <c r="I645" t="s">
        <v>760</v>
      </c>
    </row>
    <row r="646" spans="1:9" x14ac:dyDescent="0.3">
      <c r="A646" t="s">
        <v>10164</v>
      </c>
      <c r="B646" t="s">
        <v>58</v>
      </c>
      <c r="C646">
        <v>8989697390</v>
      </c>
      <c r="D646" s="2">
        <v>1</v>
      </c>
      <c r="E646" t="str">
        <f>"4574674200439222"</f>
        <v>4574674200439222</v>
      </c>
      <c r="F646" t="str">
        <f>"048"</f>
        <v>048</v>
      </c>
      <c r="G646">
        <v>1</v>
      </c>
      <c r="H646">
        <v>2023</v>
      </c>
      <c r="I646" t="s">
        <v>761</v>
      </c>
    </row>
    <row r="647" spans="1:9" x14ac:dyDescent="0.3">
      <c r="A647" t="s">
        <v>10164</v>
      </c>
      <c r="B647" t="s">
        <v>58</v>
      </c>
      <c r="C647">
        <v>8989697390</v>
      </c>
      <c r="D647" s="2">
        <v>1</v>
      </c>
      <c r="E647" t="str">
        <f>"4574674200439255"</f>
        <v>4574674200439255</v>
      </c>
      <c r="F647" t="str">
        <f>"238"</f>
        <v>238</v>
      </c>
      <c r="G647">
        <v>1</v>
      </c>
      <c r="H647">
        <v>2023</v>
      </c>
      <c r="I647" t="s">
        <v>762</v>
      </c>
    </row>
    <row r="648" spans="1:9" x14ac:dyDescent="0.3">
      <c r="A648" t="s">
        <v>10164</v>
      </c>
      <c r="B648" t="s">
        <v>58</v>
      </c>
      <c r="C648">
        <v>8989697390</v>
      </c>
      <c r="D648" s="2">
        <v>1</v>
      </c>
      <c r="E648" t="str">
        <f>"4574674200439321"</f>
        <v>4574674200439321</v>
      </c>
      <c r="F648" t="str">
        <f>"434"</f>
        <v>434</v>
      </c>
      <c r="G648">
        <v>1</v>
      </c>
      <c r="H648">
        <v>2023</v>
      </c>
      <c r="I648" t="s">
        <v>763</v>
      </c>
    </row>
    <row r="649" spans="1:9" x14ac:dyDescent="0.3">
      <c r="A649" t="s">
        <v>10164</v>
      </c>
      <c r="B649" t="s">
        <v>58</v>
      </c>
      <c r="C649">
        <v>8989697390</v>
      </c>
      <c r="D649" s="2">
        <v>1</v>
      </c>
      <c r="E649" t="str">
        <f>"4574674200439339"</f>
        <v>4574674200439339</v>
      </c>
      <c r="F649" t="str">
        <f>"732"</f>
        <v>732</v>
      </c>
      <c r="G649">
        <v>1</v>
      </c>
      <c r="H649">
        <v>2023</v>
      </c>
      <c r="I649" t="s">
        <v>764</v>
      </c>
    </row>
    <row r="650" spans="1:9" x14ac:dyDescent="0.3">
      <c r="A650" t="s">
        <v>10164</v>
      </c>
      <c r="B650" t="s">
        <v>58</v>
      </c>
      <c r="C650">
        <v>8989697390</v>
      </c>
      <c r="D650" s="2">
        <v>1</v>
      </c>
      <c r="E650" t="str">
        <f>"4574674200439149"</f>
        <v>4574674200439149</v>
      </c>
      <c r="F650" t="str">
        <f>"524"</f>
        <v>524</v>
      </c>
      <c r="G650">
        <v>1</v>
      </c>
      <c r="H650">
        <v>2023</v>
      </c>
      <c r="I650" t="s">
        <v>765</v>
      </c>
    </row>
    <row r="651" spans="1:9" x14ac:dyDescent="0.3">
      <c r="A651" t="s">
        <v>10164</v>
      </c>
      <c r="B651" t="s">
        <v>58</v>
      </c>
      <c r="C651">
        <v>8989697390</v>
      </c>
      <c r="D651" s="2">
        <v>1</v>
      </c>
      <c r="E651" t="str">
        <f>"4574674200439347"</f>
        <v>4574674200439347</v>
      </c>
      <c r="F651" t="str">
        <f>"528"</f>
        <v>528</v>
      </c>
      <c r="G651">
        <v>1</v>
      </c>
      <c r="H651">
        <v>2023</v>
      </c>
      <c r="I651" t="s">
        <v>766</v>
      </c>
    </row>
    <row r="652" spans="1:9" x14ac:dyDescent="0.3">
      <c r="A652" t="s">
        <v>10165</v>
      </c>
      <c r="B652" t="s">
        <v>59</v>
      </c>
      <c r="C652">
        <v>8989697390</v>
      </c>
      <c r="D652" s="2">
        <v>1</v>
      </c>
      <c r="E652" t="str">
        <f>"4574674200439362"</f>
        <v>4574674200439362</v>
      </c>
      <c r="F652" t="str">
        <f>"182"</f>
        <v>182</v>
      </c>
      <c r="G652">
        <v>1</v>
      </c>
      <c r="H652">
        <v>2023</v>
      </c>
      <c r="I652" t="s">
        <v>767</v>
      </c>
    </row>
    <row r="653" spans="1:9" x14ac:dyDescent="0.3">
      <c r="A653" t="s">
        <v>10165</v>
      </c>
      <c r="B653" t="s">
        <v>59</v>
      </c>
      <c r="C653">
        <v>8989697390</v>
      </c>
      <c r="D653" s="2">
        <v>1</v>
      </c>
      <c r="E653" t="str">
        <f>"4574674200439172"</f>
        <v>4574674200439172</v>
      </c>
      <c r="F653" t="str">
        <f>"824"</f>
        <v>824</v>
      </c>
      <c r="G653">
        <v>1</v>
      </c>
      <c r="H653">
        <v>2023</v>
      </c>
      <c r="I653" t="s">
        <v>768</v>
      </c>
    </row>
    <row r="654" spans="1:9" x14ac:dyDescent="0.3">
      <c r="A654" t="s">
        <v>10165</v>
      </c>
      <c r="B654" t="s">
        <v>59</v>
      </c>
      <c r="C654">
        <v>8989697390</v>
      </c>
      <c r="D654" s="2">
        <v>1</v>
      </c>
      <c r="E654" t="str">
        <f>"4574674200439438"</f>
        <v>4574674200439438</v>
      </c>
      <c r="F654" t="str">
        <f>"463"</f>
        <v>463</v>
      </c>
      <c r="G654">
        <v>1</v>
      </c>
      <c r="H654">
        <v>2023</v>
      </c>
      <c r="I654" t="s">
        <v>769</v>
      </c>
    </row>
    <row r="655" spans="1:9" x14ac:dyDescent="0.3">
      <c r="A655" t="s">
        <v>10165</v>
      </c>
      <c r="B655" t="s">
        <v>59</v>
      </c>
      <c r="C655">
        <v>8989697390</v>
      </c>
      <c r="D655" s="2">
        <v>1</v>
      </c>
      <c r="E655" t="str">
        <f>"4574674200966752"</f>
        <v>4574674200966752</v>
      </c>
      <c r="F655" t="str">
        <f>"588"</f>
        <v>588</v>
      </c>
      <c r="G655">
        <v>1</v>
      </c>
      <c r="H655">
        <v>2023</v>
      </c>
      <c r="I655" t="s">
        <v>770</v>
      </c>
    </row>
    <row r="656" spans="1:9" x14ac:dyDescent="0.3">
      <c r="A656" t="s">
        <v>10165</v>
      </c>
      <c r="B656" t="s">
        <v>59</v>
      </c>
      <c r="C656">
        <v>8989697390</v>
      </c>
      <c r="D656" s="2">
        <v>1</v>
      </c>
      <c r="E656" t="str">
        <f>"4574674200439602"</f>
        <v>4574674200439602</v>
      </c>
      <c r="F656" t="str">
        <f>"896"</f>
        <v>896</v>
      </c>
      <c r="G656">
        <v>1</v>
      </c>
      <c r="H656">
        <v>2023</v>
      </c>
      <c r="I656" t="s">
        <v>771</v>
      </c>
    </row>
    <row r="657" spans="1:9" x14ac:dyDescent="0.3">
      <c r="A657" t="s">
        <v>10165</v>
      </c>
      <c r="B657" t="s">
        <v>59</v>
      </c>
      <c r="C657">
        <v>8989697390</v>
      </c>
      <c r="D657" s="2">
        <v>1</v>
      </c>
      <c r="E657" t="str">
        <f>"4574674200439495"</f>
        <v>4574674200439495</v>
      </c>
      <c r="F657" t="str">
        <f>"070"</f>
        <v>070</v>
      </c>
      <c r="G657">
        <v>1</v>
      </c>
      <c r="H657">
        <v>2023</v>
      </c>
      <c r="I657" t="s">
        <v>772</v>
      </c>
    </row>
    <row r="658" spans="1:9" x14ac:dyDescent="0.3">
      <c r="A658" t="s">
        <v>10165</v>
      </c>
      <c r="B658" t="s">
        <v>59</v>
      </c>
      <c r="C658">
        <v>8989697390</v>
      </c>
      <c r="D658" s="2">
        <v>1</v>
      </c>
      <c r="E658" t="str">
        <f>"4574674200439511"</f>
        <v>4574674200439511</v>
      </c>
      <c r="F658" t="str">
        <f>"000"</f>
        <v>000</v>
      </c>
      <c r="G658">
        <v>1</v>
      </c>
      <c r="H658">
        <v>2023</v>
      </c>
      <c r="I658" t="s">
        <v>773</v>
      </c>
    </row>
    <row r="659" spans="1:9" x14ac:dyDescent="0.3">
      <c r="A659" t="s">
        <v>10165</v>
      </c>
      <c r="B659" t="s">
        <v>59</v>
      </c>
      <c r="C659">
        <v>8989697390</v>
      </c>
      <c r="D659" s="2">
        <v>1</v>
      </c>
      <c r="E659" t="str">
        <f>"4574674200439537"</f>
        <v>4574674200439537</v>
      </c>
      <c r="F659" t="str">
        <f>"994"</f>
        <v>994</v>
      </c>
      <c r="G659">
        <v>1</v>
      </c>
      <c r="H659">
        <v>2023</v>
      </c>
      <c r="I659" t="s">
        <v>774</v>
      </c>
    </row>
    <row r="660" spans="1:9" x14ac:dyDescent="0.3">
      <c r="A660" t="s">
        <v>10165</v>
      </c>
      <c r="B660" t="s">
        <v>59</v>
      </c>
      <c r="C660">
        <v>8989697390</v>
      </c>
      <c r="D660" s="2">
        <v>1</v>
      </c>
      <c r="E660" t="str">
        <f>"4574674200439578"</f>
        <v>4574674200439578</v>
      </c>
      <c r="F660" t="str">
        <f>"646"</f>
        <v>646</v>
      </c>
      <c r="G660">
        <v>1</v>
      </c>
      <c r="H660">
        <v>2023</v>
      </c>
      <c r="I660" t="s">
        <v>775</v>
      </c>
    </row>
    <row r="661" spans="1:9" x14ac:dyDescent="0.3">
      <c r="A661" t="s">
        <v>10165</v>
      </c>
      <c r="B661" t="s">
        <v>59</v>
      </c>
      <c r="C661">
        <v>8989697390</v>
      </c>
      <c r="D661" s="2">
        <v>1</v>
      </c>
      <c r="E661" t="str">
        <f>"4574674200439818"</f>
        <v>4574674200439818</v>
      </c>
      <c r="F661" t="str">
        <f>"490"</f>
        <v>490</v>
      </c>
      <c r="G661">
        <v>1</v>
      </c>
      <c r="H661">
        <v>2023</v>
      </c>
      <c r="I661" t="s">
        <v>776</v>
      </c>
    </row>
    <row r="662" spans="1:9" x14ac:dyDescent="0.3">
      <c r="A662" t="s">
        <v>10166</v>
      </c>
      <c r="B662" t="s">
        <v>60</v>
      </c>
      <c r="C662">
        <v>8989697390</v>
      </c>
      <c r="D662" s="2">
        <v>1</v>
      </c>
      <c r="E662" t="str">
        <f>"4574674200439685"</f>
        <v>4574674200439685</v>
      </c>
      <c r="F662" t="str">
        <f>"657"</f>
        <v>657</v>
      </c>
      <c r="G662">
        <v>1</v>
      </c>
      <c r="H662">
        <v>2023</v>
      </c>
      <c r="I662" t="s">
        <v>777</v>
      </c>
    </row>
    <row r="663" spans="1:9" x14ac:dyDescent="0.3">
      <c r="A663" t="s">
        <v>10166</v>
      </c>
      <c r="B663" t="s">
        <v>60</v>
      </c>
      <c r="C663">
        <v>8989697390</v>
      </c>
      <c r="D663" s="2">
        <v>1</v>
      </c>
      <c r="E663" t="str">
        <f>"4574674200439842"</f>
        <v>4574674200439842</v>
      </c>
      <c r="F663" t="str">
        <f>"499"</f>
        <v>499</v>
      </c>
      <c r="G663">
        <v>1</v>
      </c>
      <c r="H663">
        <v>2023</v>
      </c>
      <c r="I663" t="s">
        <v>778</v>
      </c>
    </row>
    <row r="664" spans="1:9" x14ac:dyDescent="0.3">
      <c r="A664" t="s">
        <v>10166</v>
      </c>
      <c r="B664" t="s">
        <v>60</v>
      </c>
      <c r="C664">
        <v>8989697390</v>
      </c>
      <c r="D664" s="2">
        <v>1</v>
      </c>
      <c r="E664" t="str">
        <f>"4574674200439859"</f>
        <v>4574674200439859</v>
      </c>
      <c r="F664" t="str">
        <f>"439"</f>
        <v>439</v>
      </c>
      <c r="G664">
        <v>1</v>
      </c>
      <c r="H664">
        <v>2023</v>
      </c>
      <c r="I664" t="s">
        <v>779</v>
      </c>
    </row>
    <row r="665" spans="1:9" x14ac:dyDescent="0.3">
      <c r="A665" t="s">
        <v>10166</v>
      </c>
      <c r="B665" t="s">
        <v>60</v>
      </c>
      <c r="C665">
        <v>8989697390</v>
      </c>
      <c r="D665" s="2">
        <v>1</v>
      </c>
      <c r="E665" t="str">
        <f>"4574674200439719"</f>
        <v>4574674200439719</v>
      </c>
      <c r="F665" t="str">
        <f>"319"</f>
        <v>319</v>
      </c>
      <c r="G665">
        <v>1</v>
      </c>
      <c r="H665">
        <v>2023</v>
      </c>
      <c r="I665" t="s">
        <v>780</v>
      </c>
    </row>
    <row r="666" spans="1:9" x14ac:dyDescent="0.3">
      <c r="A666" t="s">
        <v>10166</v>
      </c>
      <c r="B666" t="s">
        <v>60</v>
      </c>
      <c r="C666">
        <v>8989697390</v>
      </c>
      <c r="D666" s="2">
        <v>1</v>
      </c>
      <c r="E666" t="str">
        <f>"4574674200439735"</f>
        <v>4574674200439735</v>
      </c>
      <c r="F666" t="str">
        <f>"457"</f>
        <v>457</v>
      </c>
      <c r="G666">
        <v>1</v>
      </c>
      <c r="H666">
        <v>2023</v>
      </c>
      <c r="I666" t="s">
        <v>781</v>
      </c>
    </row>
    <row r="667" spans="1:9" x14ac:dyDescent="0.3">
      <c r="A667" t="s">
        <v>10166</v>
      </c>
      <c r="B667" t="s">
        <v>60</v>
      </c>
      <c r="C667">
        <v>8989697390</v>
      </c>
      <c r="D667" s="2">
        <v>1</v>
      </c>
      <c r="E667" t="str">
        <f>"4574674200439909"</f>
        <v>4574674200439909</v>
      </c>
      <c r="F667" t="str">
        <f>"745"</f>
        <v>745</v>
      </c>
      <c r="G667">
        <v>1</v>
      </c>
      <c r="H667">
        <v>2023</v>
      </c>
      <c r="I667" t="s">
        <v>782</v>
      </c>
    </row>
    <row r="668" spans="1:9" x14ac:dyDescent="0.3">
      <c r="A668" t="s">
        <v>10166</v>
      </c>
      <c r="B668" t="s">
        <v>60</v>
      </c>
      <c r="C668">
        <v>8989697390</v>
      </c>
      <c r="D668" s="2">
        <v>1</v>
      </c>
      <c r="E668" t="str">
        <f>"4574674200439974"</f>
        <v>4574674200439974</v>
      </c>
      <c r="F668" t="str">
        <f>"322"</f>
        <v>322</v>
      </c>
      <c r="G668">
        <v>1</v>
      </c>
      <c r="H668">
        <v>2023</v>
      </c>
      <c r="I668" t="s">
        <v>783</v>
      </c>
    </row>
    <row r="669" spans="1:9" x14ac:dyDescent="0.3">
      <c r="A669" t="s">
        <v>10166</v>
      </c>
      <c r="B669" t="s">
        <v>60</v>
      </c>
      <c r="C669">
        <v>8989697390</v>
      </c>
      <c r="D669" s="2">
        <v>1</v>
      </c>
      <c r="E669" t="str">
        <f>"4574674200439982"</f>
        <v>4574674200439982</v>
      </c>
      <c r="F669" t="str">
        <f>"634"</f>
        <v>634</v>
      </c>
      <c r="G669">
        <v>1</v>
      </c>
      <c r="H669">
        <v>2023</v>
      </c>
      <c r="I669" t="s">
        <v>784</v>
      </c>
    </row>
    <row r="670" spans="1:9" x14ac:dyDescent="0.3">
      <c r="A670" t="s">
        <v>10166</v>
      </c>
      <c r="B670" t="s">
        <v>60</v>
      </c>
      <c r="C670">
        <v>8989697390</v>
      </c>
      <c r="D670" s="2">
        <v>1</v>
      </c>
      <c r="E670" t="str">
        <f>"4574674200440014"</f>
        <v>4574674200440014</v>
      </c>
      <c r="F670" t="str">
        <f>"954"</f>
        <v>954</v>
      </c>
      <c r="G670">
        <v>1</v>
      </c>
      <c r="H670">
        <v>2023</v>
      </c>
      <c r="I670" t="s">
        <v>785</v>
      </c>
    </row>
    <row r="671" spans="1:9" x14ac:dyDescent="0.3">
      <c r="A671" t="s">
        <v>10166</v>
      </c>
      <c r="B671" t="s">
        <v>60</v>
      </c>
      <c r="C671">
        <v>8989697390</v>
      </c>
      <c r="D671" s="2">
        <v>1</v>
      </c>
      <c r="E671" t="str">
        <f>"4574674200440204"</f>
        <v>4574674200440204</v>
      </c>
      <c r="F671" t="str">
        <f>"860"</f>
        <v>860</v>
      </c>
      <c r="G671">
        <v>1</v>
      </c>
      <c r="H671">
        <v>2023</v>
      </c>
      <c r="I671" t="s">
        <v>786</v>
      </c>
    </row>
    <row r="672" spans="1:9" x14ac:dyDescent="0.3">
      <c r="A672" t="s">
        <v>10146</v>
      </c>
      <c r="B672" t="s">
        <v>61</v>
      </c>
      <c r="C672">
        <v>8989697390</v>
      </c>
      <c r="D672" s="2">
        <v>1</v>
      </c>
      <c r="E672" t="str">
        <f>"4574674200440048"</f>
        <v>4574674200440048</v>
      </c>
      <c r="F672" t="str">
        <f>"850"</f>
        <v>850</v>
      </c>
      <c r="G672">
        <v>1</v>
      </c>
      <c r="H672">
        <v>2023</v>
      </c>
      <c r="I672" t="s">
        <v>787</v>
      </c>
    </row>
    <row r="673" spans="1:9" x14ac:dyDescent="0.3">
      <c r="A673" t="s">
        <v>10146</v>
      </c>
      <c r="B673" t="s">
        <v>61</v>
      </c>
      <c r="C673">
        <v>8989697390</v>
      </c>
      <c r="D673" s="2">
        <v>1</v>
      </c>
      <c r="E673" t="str">
        <f>"4574674200440253"</f>
        <v>4574674200440253</v>
      </c>
      <c r="F673" t="str">
        <f>"747"</f>
        <v>747</v>
      </c>
      <c r="G673">
        <v>1</v>
      </c>
      <c r="H673">
        <v>2023</v>
      </c>
      <c r="I673" t="s">
        <v>788</v>
      </c>
    </row>
    <row r="674" spans="1:9" x14ac:dyDescent="0.3">
      <c r="A674" t="s">
        <v>10146</v>
      </c>
      <c r="B674" t="s">
        <v>61</v>
      </c>
      <c r="C674">
        <v>8989697390</v>
      </c>
      <c r="D674" s="2">
        <v>1</v>
      </c>
      <c r="E674" t="str">
        <f>"4574674200440113"</f>
        <v>4574674200440113</v>
      </c>
      <c r="F674" t="str">
        <f>"428"</f>
        <v>428</v>
      </c>
      <c r="G674">
        <v>1</v>
      </c>
      <c r="H674">
        <v>2023</v>
      </c>
      <c r="I674" t="s">
        <v>789</v>
      </c>
    </row>
    <row r="675" spans="1:9" x14ac:dyDescent="0.3">
      <c r="A675" t="s">
        <v>10146</v>
      </c>
      <c r="B675" t="s">
        <v>61</v>
      </c>
      <c r="C675">
        <v>8989697390</v>
      </c>
      <c r="D675" s="2">
        <v>1</v>
      </c>
      <c r="E675" t="str">
        <f>"4574674200440139"</f>
        <v>4574674200440139</v>
      </c>
      <c r="F675" t="str">
        <f>"673"</f>
        <v>673</v>
      </c>
      <c r="G675">
        <v>1</v>
      </c>
      <c r="H675">
        <v>2023</v>
      </c>
      <c r="I675" t="s">
        <v>790</v>
      </c>
    </row>
    <row r="676" spans="1:9" x14ac:dyDescent="0.3">
      <c r="A676" t="s">
        <v>10146</v>
      </c>
      <c r="B676" t="s">
        <v>61</v>
      </c>
      <c r="C676">
        <v>8989697390</v>
      </c>
      <c r="D676" s="2">
        <v>1</v>
      </c>
      <c r="E676" t="str">
        <f>"4574674200440154"</f>
        <v>4574674200440154</v>
      </c>
      <c r="F676" t="str">
        <f>"585"</f>
        <v>585</v>
      </c>
      <c r="G676">
        <v>1</v>
      </c>
      <c r="H676">
        <v>2023</v>
      </c>
      <c r="I676" t="s">
        <v>791</v>
      </c>
    </row>
    <row r="677" spans="1:9" x14ac:dyDescent="0.3">
      <c r="A677" t="s">
        <v>10146</v>
      </c>
      <c r="B677" t="s">
        <v>61</v>
      </c>
      <c r="C677">
        <v>8989697390</v>
      </c>
      <c r="D677" s="2">
        <v>1</v>
      </c>
      <c r="E677" t="str">
        <f>"4574674200440162"</f>
        <v>4574674200440162</v>
      </c>
      <c r="F677" t="str">
        <f>"573"</f>
        <v>573</v>
      </c>
      <c r="G677">
        <v>1</v>
      </c>
      <c r="H677">
        <v>2023</v>
      </c>
      <c r="I677" t="s">
        <v>792</v>
      </c>
    </row>
    <row r="678" spans="1:9" x14ac:dyDescent="0.3">
      <c r="A678" t="s">
        <v>10146</v>
      </c>
      <c r="B678" t="s">
        <v>61</v>
      </c>
      <c r="C678">
        <v>8989697390</v>
      </c>
      <c r="D678" s="2">
        <v>1</v>
      </c>
      <c r="E678" t="str">
        <f>"4574674200440311"</f>
        <v>4574674200440311</v>
      </c>
      <c r="F678" t="str">
        <f>"240"</f>
        <v>240</v>
      </c>
      <c r="G678">
        <v>1</v>
      </c>
      <c r="H678">
        <v>2023</v>
      </c>
      <c r="I678" t="s">
        <v>793</v>
      </c>
    </row>
    <row r="679" spans="1:9" x14ac:dyDescent="0.3">
      <c r="A679" t="s">
        <v>10146</v>
      </c>
      <c r="B679" t="s">
        <v>61</v>
      </c>
      <c r="C679">
        <v>8989697390</v>
      </c>
      <c r="D679" s="2">
        <v>1</v>
      </c>
      <c r="E679" t="str">
        <f>"4574674200440477"</f>
        <v>4574674200440477</v>
      </c>
      <c r="F679" t="str">
        <f>"330"</f>
        <v>330</v>
      </c>
      <c r="G679">
        <v>1</v>
      </c>
      <c r="H679">
        <v>2023</v>
      </c>
      <c r="I679" t="s">
        <v>794</v>
      </c>
    </row>
    <row r="680" spans="1:9" x14ac:dyDescent="0.3">
      <c r="A680" t="s">
        <v>10146</v>
      </c>
      <c r="B680" t="s">
        <v>61</v>
      </c>
      <c r="C680">
        <v>8989697390</v>
      </c>
      <c r="D680" s="2">
        <v>1</v>
      </c>
      <c r="E680" t="str">
        <f>"4574674200440451"</f>
        <v>4574674200440451</v>
      </c>
      <c r="F680" t="str">
        <f>"506"</f>
        <v>506</v>
      </c>
      <c r="G680">
        <v>1</v>
      </c>
      <c r="H680">
        <v>2023</v>
      </c>
      <c r="I680" t="s">
        <v>795</v>
      </c>
    </row>
    <row r="681" spans="1:9" x14ac:dyDescent="0.3">
      <c r="A681" t="s">
        <v>10146</v>
      </c>
      <c r="B681" t="s">
        <v>61</v>
      </c>
      <c r="C681">
        <v>8989697390</v>
      </c>
      <c r="D681" s="2">
        <v>1</v>
      </c>
      <c r="E681" t="str">
        <f>"4574674200440519"</f>
        <v>4574674200440519</v>
      </c>
      <c r="F681" t="str">
        <f>"091"</f>
        <v>091</v>
      </c>
      <c r="G681">
        <v>1</v>
      </c>
      <c r="H681">
        <v>2023</v>
      </c>
      <c r="I681" t="s">
        <v>796</v>
      </c>
    </row>
    <row r="682" spans="1:9" x14ac:dyDescent="0.3">
      <c r="A682" t="s">
        <v>10147</v>
      </c>
      <c r="B682" t="s">
        <v>62</v>
      </c>
      <c r="C682">
        <v>8989697390</v>
      </c>
      <c r="D682" s="2">
        <v>1</v>
      </c>
      <c r="E682" t="str">
        <f>"4574674200440360"</f>
        <v>4574674200440360</v>
      </c>
      <c r="F682" t="str">
        <f>"376"</f>
        <v>376</v>
      </c>
      <c r="G682">
        <v>1</v>
      </c>
      <c r="H682">
        <v>2023</v>
      </c>
      <c r="I682" t="s">
        <v>797</v>
      </c>
    </row>
    <row r="683" spans="1:9" x14ac:dyDescent="0.3">
      <c r="A683" t="s">
        <v>10147</v>
      </c>
      <c r="B683" t="s">
        <v>62</v>
      </c>
      <c r="C683">
        <v>8989697390</v>
      </c>
      <c r="D683" s="2">
        <v>1</v>
      </c>
      <c r="E683" t="str">
        <f>"4574674200440352"</f>
        <v>4574674200440352</v>
      </c>
      <c r="F683" t="str">
        <f>"360"</f>
        <v>360</v>
      </c>
      <c r="G683">
        <v>1</v>
      </c>
      <c r="H683">
        <v>2023</v>
      </c>
      <c r="I683" t="s">
        <v>798</v>
      </c>
    </row>
    <row r="684" spans="1:9" x14ac:dyDescent="0.3">
      <c r="A684" t="s">
        <v>10147</v>
      </c>
      <c r="B684" t="s">
        <v>62</v>
      </c>
      <c r="C684">
        <v>8989697390</v>
      </c>
      <c r="D684" s="2">
        <v>1</v>
      </c>
      <c r="E684" t="str">
        <f>"4574674200440527"</f>
        <v>4574674200440527</v>
      </c>
      <c r="F684" t="str">
        <f>"559"</f>
        <v>559</v>
      </c>
      <c r="G684">
        <v>1</v>
      </c>
      <c r="H684">
        <v>2023</v>
      </c>
      <c r="I684" t="s">
        <v>799</v>
      </c>
    </row>
    <row r="685" spans="1:9" x14ac:dyDescent="0.3">
      <c r="A685" t="s">
        <v>10147</v>
      </c>
      <c r="B685" t="s">
        <v>62</v>
      </c>
      <c r="C685">
        <v>8989697390</v>
      </c>
      <c r="D685" s="2">
        <v>1</v>
      </c>
      <c r="E685" t="str">
        <f>"4574674200440634"</f>
        <v>4574674200440634</v>
      </c>
      <c r="F685" t="str">
        <f>"420"</f>
        <v>420</v>
      </c>
      <c r="G685">
        <v>1</v>
      </c>
      <c r="H685">
        <v>2023</v>
      </c>
      <c r="I685" t="s">
        <v>800</v>
      </c>
    </row>
    <row r="686" spans="1:9" x14ac:dyDescent="0.3">
      <c r="A686" t="s">
        <v>10147</v>
      </c>
      <c r="B686" t="s">
        <v>62</v>
      </c>
      <c r="C686">
        <v>8989697390</v>
      </c>
      <c r="D686" s="2">
        <v>1</v>
      </c>
      <c r="E686" t="str">
        <f>"4574674200440824"</f>
        <v>4574674200440824</v>
      </c>
      <c r="F686" t="str">
        <f>"720"</f>
        <v>720</v>
      </c>
      <c r="G686">
        <v>1</v>
      </c>
      <c r="H686">
        <v>2023</v>
      </c>
      <c r="I686" t="s">
        <v>801</v>
      </c>
    </row>
    <row r="687" spans="1:9" x14ac:dyDescent="0.3">
      <c r="A687" t="s">
        <v>10147</v>
      </c>
      <c r="B687" t="s">
        <v>62</v>
      </c>
      <c r="C687">
        <v>8989697390</v>
      </c>
      <c r="D687" s="2">
        <v>1</v>
      </c>
      <c r="E687" t="str">
        <f>"4574674200440873"</f>
        <v>4574674200440873</v>
      </c>
      <c r="F687" t="str">
        <f>"612"</f>
        <v>612</v>
      </c>
      <c r="G687">
        <v>1</v>
      </c>
      <c r="H687">
        <v>2023</v>
      </c>
      <c r="I687" t="s">
        <v>802</v>
      </c>
    </row>
    <row r="688" spans="1:9" x14ac:dyDescent="0.3">
      <c r="A688" t="s">
        <v>10147</v>
      </c>
      <c r="B688" t="s">
        <v>62</v>
      </c>
      <c r="C688">
        <v>8989697390</v>
      </c>
      <c r="D688" s="2">
        <v>1</v>
      </c>
      <c r="E688" t="str">
        <f>"4574674200440642"</f>
        <v>4574674200440642</v>
      </c>
      <c r="F688" t="str">
        <f>"943"</f>
        <v>943</v>
      </c>
      <c r="G688">
        <v>1</v>
      </c>
      <c r="H688">
        <v>2023</v>
      </c>
      <c r="I688" t="s">
        <v>803</v>
      </c>
    </row>
    <row r="689" spans="1:9" x14ac:dyDescent="0.3">
      <c r="A689" t="s">
        <v>10147</v>
      </c>
      <c r="B689" t="s">
        <v>62</v>
      </c>
      <c r="C689">
        <v>8989697390</v>
      </c>
      <c r="D689" s="2">
        <v>1</v>
      </c>
      <c r="E689" t="str">
        <f>"4574674200440956"</f>
        <v>4574674200440956</v>
      </c>
      <c r="F689" t="str">
        <f>"301"</f>
        <v>301</v>
      </c>
      <c r="G689">
        <v>1</v>
      </c>
      <c r="H689">
        <v>2023</v>
      </c>
      <c r="I689" t="s">
        <v>804</v>
      </c>
    </row>
    <row r="690" spans="1:9" x14ac:dyDescent="0.3">
      <c r="A690" t="s">
        <v>10147</v>
      </c>
      <c r="B690" t="s">
        <v>62</v>
      </c>
      <c r="C690">
        <v>8989697390</v>
      </c>
      <c r="D690" s="2">
        <v>1</v>
      </c>
      <c r="E690" t="str">
        <f>"4574674200440683"</f>
        <v>4574674200440683</v>
      </c>
      <c r="F690" t="str">
        <f>"432"</f>
        <v>432</v>
      </c>
      <c r="G690">
        <v>1</v>
      </c>
      <c r="H690">
        <v>2023</v>
      </c>
      <c r="I690" t="s">
        <v>805</v>
      </c>
    </row>
    <row r="691" spans="1:9" x14ac:dyDescent="0.3">
      <c r="A691" t="s">
        <v>10147</v>
      </c>
      <c r="B691" t="s">
        <v>62</v>
      </c>
      <c r="C691">
        <v>8989697390</v>
      </c>
      <c r="D691" s="2">
        <v>1</v>
      </c>
      <c r="E691" t="str">
        <f>"4574674200441020"</f>
        <v>4574674200441020</v>
      </c>
      <c r="F691" t="str">
        <f>"065"</f>
        <v>065</v>
      </c>
      <c r="G691">
        <v>1</v>
      </c>
      <c r="H691">
        <v>2023</v>
      </c>
      <c r="I691" t="s">
        <v>806</v>
      </c>
    </row>
    <row r="692" spans="1:9" x14ac:dyDescent="0.3">
      <c r="A692" t="s">
        <v>10167</v>
      </c>
      <c r="B692" t="s">
        <v>63</v>
      </c>
      <c r="C692">
        <v>8989697390</v>
      </c>
      <c r="D692" s="2">
        <v>1</v>
      </c>
      <c r="E692" t="str">
        <f>"4574674200441046"</f>
        <v>4574674200441046</v>
      </c>
      <c r="F692" t="str">
        <f>"970"</f>
        <v>970</v>
      </c>
      <c r="G692">
        <v>1</v>
      </c>
      <c r="H692">
        <v>2023</v>
      </c>
      <c r="I692" t="s">
        <v>807</v>
      </c>
    </row>
    <row r="693" spans="1:9" x14ac:dyDescent="0.3">
      <c r="A693" t="s">
        <v>10167</v>
      </c>
      <c r="B693" t="s">
        <v>63</v>
      </c>
      <c r="C693">
        <v>8989697390</v>
      </c>
      <c r="D693" s="2">
        <v>1</v>
      </c>
      <c r="E693" t="str">
        <f>"4574674200441111"</f>
        <v>4574674200441111</v>
      </c>
      <c r="F693" t="str">
        <f>"148"</f>
        <v>148</v>
      </c>
      <c r="G693">
        <v>1</v>
      </c>
      <c r="H693">
        <v>2023</v>
      </c>
      <c r="I693" t="s">
        <v>808</v>
      </c>
    </row>
    <row r="694" spans="1:9" x14ac:dyDescent="0.3">
      <c r="A694" t="s">
        <v>10167</v>
      </c>
      <c r="B694" t="s">
        <v>63</v>
      </c>
      <c r="C694">
        <v>8989697390</v>
      </c>
      <c r="D694" s="2">
        <v>1</v>
      </c>
      <c r="E694" t="str">
        <f>"4574674200442895"</f>
        <v>4574674200442895</v>
      </c>
      <c r="F694" t="str">
        <f>"358"</f>
        <v>358</v>
      </c>
      <c r="G694">
        <v>1</v>
      </c>
      <c r="H694">
        <v>2023</v>
      </c>
      <c r="I694" t="s">
        <v>809</v>
      </c>
    </row>
    <row r="695" spans="1:9" x14ac:dyDescent="0.3">
      <c r="A695" t="s">
        <v>10167</v>
      </c>
      <c r="B695" t="s">
        <v>63</v>
      </c>
      <c r="C695">
        <v>8989697390</v>
      </c>
      <c r="D695" s="2">
        <v>1</v>
      </c>
      <c r="E695" t="str">
        <f>"4574674200442911"</f>
        <v>4574674200442911</v>
      </c>
      <c r="F695" t="str">
        <f>"471"</f>
        <v>471</v>
      </c>
      <c r="G695">
        <v>1</v>
      </c>
      <c r="H695">
        <v>2023</v>
      </c>
      <c r="I695" t="s">
        <v>810</v>
      </c>
    </row>
    <row r="696" spans="1:9" x14ac:dyDescent="0.3">
      <c r="A696" t="s">
        <v>10167</v>
      </c>
      <c r="B696" t="s">
        <v>63</v>
      </c>
      <c r="C696">
        <v>8989697390</v>
      </c>
      <c r="D696" s="2">
        <v>1</v>
      </c>
      <c r="E696" t="str">
        <f>"4574674200442689"</f>
        <v>4574674200442689</v>
      </c>
      <c r="F696" t="str">
        <f>"878"</f>
        <v>878</v>
      </c>
      <c r="G696">
        <v>1</v>
      </c>
      <c r="H696">
        <v>2023</v>
      </c>
      <c r="I696" t="s">
        <v>811</v>
      </c>
    </row>
    <row r="697" spans="1:9" x14ac:dyDescent="0.3">
      <c r="A697" t="s">
        <v>10167</v>
      </c>
      <c r="B697" t="s">
        <v>63</v>
      </c>
      <c r="C697">
        <v>8989697390</v>
      </c>
      <c r="D697" s="2">
        <v>1</v>
      </c>
      <c r="E697" t="str">
        <f>"4574674200442705"</f>
        <v>4574674200442705</v>
      </c>
      <c r="F697" t="str">
        <f>"985"</f>
        <v>985</v>
      </c>
      <c r="G697">
        <v>1</v>
      </c>
      <c r="H697">
        <v>2023</v>
      </c>
      <c r="I697" t="s">
        <v>812</v>
      </c>
    </row>
    <row r="698" spans="1:9" x14ac:dyDescent="0.3">
      <c r="A698" t="s">
        <v>10167</v>
      </c>
      <c r="B698" t="s">
        <v>63</v>
      </c>
      <c r="C698">
        <v>8989697390</v>
      </c>
      <c r="D698" s="2">
        <v>1</v>
      </c>
      <c r="E698" t="str">
        <f>"4574674200442713"</f>
        <v>4574674200442713</v>
      </c>
      <c r="F698" t="str">
        <f>"876"</f>
        <v>876</v>
      </c>
      <c r="G698">
        <v>1</v>
      </c>
      <c r="H698">
        <v>2023</v>
      </c>
      <c r="I698" t="s">
        <v>813</v>
      </c>
    </row>
    <row r="699" spans="1:9" x14ac:dyDescent="0.3">
      <c r="A699" t="s">
        <v>10167</v>
      </c>
      <c r="B699" t="s">
        <v>63</v>
      </c>
      <c r="C699">
        <v>8989697390</v>
      </c>
      <c r="D699" s="2">
        <v>1</v>
      </c>
      <c r="E699" t="str">
        <f>"4574674200443000"</f>
        <v>4574674200443000</v>
      </c>
      <c r="F699" t="str">
        <f>"244"</f>
        <v>244</v>
      </c>
      <c r="G699">
        <v>1</v>
      </c>
      <c r="H699">
        <v>2023</v>
      </c>
      <c r="I699" t="s">
        <v>814</v>
      </c>
    </row>
    <row r="700" spans="1:9" x14ac:dyDescent="0.3">
      <c r="A700" t="s">
        <v>10167</v>
      </c>
      <c r="B700" t="s">
        <v>63</v>
      </c>
      <c r="C700">
        <v>8989697390</v>
      </c>
      <c r="D700" s="2">
        <v>1</v>
      </c>
      <c r="E700" t="str">
        <f>"4574674200443083"</f>
        <v>4574674200443083</v>
      </c>
      <c r="F700" t="str">
        <f>"862"</f>
        <v>862</v>
      </c>
      <c r="G700">
        <v>1</v>
      </c>
      <c r="H700">
        <v>2023</v>
      </c>
      <c r="I700" t="s">
        <v>815</v>
      </c>
    </row>
    <row r="701" spans="1:9" x14ac:dyDescent="0.3">
      <c r="A701" t="s">
        <v>10167</v>
      </c>
      <c r="B701" t="s">
        <v>63</v>
      </c>
      <c r="C701">
        <v>8989697390</v>
      </c>
      <c r="D701" s="2">
        <v>1</v>
      </c>
      <c r="E701" t="str">
        <f>"4574674200443026"</f>
        <v>4574674200443026</v>
      </c>
      <c r="F701" t="str">
        <f>"718"</f>
        <v>718</v>
      </c>
      <c r="G701">
        <v>1</v>
      </c>
      <c r="H701">
        <v>2023</v>
      </c>
      <c r="I701" t="s">
        <v>816</v>
      </c>
    </row>
    <row r="702" spans="1:9" x14ac:dyDescent="0.3">
      <c r="A702" t="s">
        <v>10157</v>
      </c>
      <c r="B702" t="s">
        <v>64</v>
      </c>
      <c r="C702">
        <v>8989697390</v>
      </c>
      <c r="D702" s="2">
        <v>1</v>
      </c>
      <c r="E702" t="str">
        <f>"4574674200443067"</f>
        <v>4574674200443067</v>
      </c>
      <c r="F702" t="str">
        <f>"874"</f>
        <v>874</v>
      </c>
      <c r="G702">
        <v>1</v>
      </c>
      <c r="H702">
        <v>2023</v>
      </c>
      <c r="I702" t="s">
        <v>817</v>
      </c>
    </row>
    <row r="703" spans="1:9" x14ac:dyDescent="0.3">
      <c r="A703" t="s">
        <v>10157</v>
      </c>
      <c r="B703" t="s">
        <v>64</v>
      </c>
      <c r="C703">
        <v>8989697390</v>
      </c>
      <c r="D703" s="2">
        <v>1</v>
      </c>
      <c r="E703" t="str">
        <f>"4574674200442788"</f>
        <v>4574674200442788</v>
      </c>
      <c r="F703" t="str">
        <f>"003"</f>
        <v>003</v>
      </c>
      <c r="G703">
        <v>1</v>
      </c>
      <c r="H703">
        <v>2023</v>
      </c>
      <c r="I703" t="s">
        <v>818</v>
      </c>
    </row>
    <row r="704" spans="1:9" x14ac:dyDescent="0.3">
      <c r="A704" t="s">
        <v>10157</v>
      </c>
      <c r="B704" t="s">
        <v>64</v>
      </c>
      <c r="C704">
        <v>8989697390</v>
      </c>
      <c r="D704" s="2">
        <v>1</v>
      </c>
      <c r="E704" t="str">
        <f>"4574674200969061"</f>
        <v>4574674200969061</v>
      </c>
      <c r="F704" t="str">
        <f>"003"</f>
        <v>003</v>
      </c>
      <c r="G704">
        <v>1</v>
      </c>
      <c r="H704">
        <v>2023</v>
      </c>
      <c r="I704" t="s">
        <v>819</v>
      </c>
    </row>
    <row r="705" spans="1:9" x14ac:dyDescent="0.3">
      <c r="A705" t="s">
        <v>10157</v>
      </c>
      <c r="B705" t="s">
        <v>64</v>
      </c>
      <c r="C705">
        <v>8989697390</v>
      </c>
      <c r="D705" s="2">
        <v>1</v>
      </c>
      <c r="E705" t="str">
        <f>"4574674200443208"</f>
        <v>4574674200443208</v>
      </c>
      <c r="F705" t="str">
        <f>"989"</f>
        <v>989</v>
      </c>
      <c r="G705">
        <v>1</v>
      </c>
      <c r="H705">
        <v>2023</v>
      </c>
      <c r="I705" t="s">
        <v>820</v>
      </c>
    </row>
    <row r="706" spans="1:9" x14ac:dyDescent="0.3">
      <c r="A706" t="s">
        <v>10157</v>
      </c>
      <c r="B706" t="s">
        <v>64</v>
      </c>
      <c r="C706">
        <v>8989697390</v>
      </c>
      <c r="D706" s="2">
        <v>1</v>
      </c>
      <c r="E706" t="str">
        <f>"4574674200443216"</f>
        <v>4574674200443216</v>
      </c>
      <c r="F706" t="str">
        <f>"606"</f>
        <v>606</v>
      </c>
      <c r="G706">
        <v>1</v>
      </c>
      <c r="H706">
        <v>2023</v>
      </c>
      <c r="I706" t="s">
        <v>821</v>
      </c>
    </row>
    <row r="707" spans="1:9" x14ac:dyDescent="0.3">
      <c r="A707" t="s">
        <v>10157</v>
      </c>
      <c r="B707" t="s">
        <v>64</v>
      </c>
      <c r="C707">
        <v>8989697390</v>
      </c>
      <c r="D707" s="2">
        <v>1</v>
      </c>
      <c r="E707" t="str">
        <f>"4574674200443224"</f>
        <v>4574674200443224</v>
      </c>
      <c r="F707" t="str">
        <f>"074"</f>
        <v>074</v>
      </c>
      <c r="G707">
        <v>1</v>
      </c>
      <c r="H707">
        <v>2023</v>
      </c>
      <c r="I707" t="s">
        <v>822</v>
      </c>
    </row>
    <row r="708" spans="1:9" x14ac:dyDescent="0.3">
      <c r="A708" t="s">
        <v>10157</v>
      </c>
      <c r="B708" t="s">
        <v>64</v>
      </c>
      <c r="C708">
        <v>8989697390</v>
      </c>
      <c r="D708" s="2">
        <v>1</v>
      </c>
      <c r="E708" t="str">
        <f>"4574674200969145"</f>
        <v>4574674200969145</v>
      </c>
      <c r="F708" t="str">
        <f>"559"</f>
        <v>559</v>
      </c>
      <c r="G708">
        <v>1</v>
      </c>
      <c r="H708">
        <v>2023</v>
      </c>
      <c r="I708" t="s">
        <v>823</v>
      </c>
    </row>
    <row r="709" spans="1:9" x14ac:dyDescent="0.3">
      <c r="A709" t="s">
        <v>10157</v>
      </c>
      <c r="B709" t="s">
        <v>64</v>
      </c>
      <c r="C709">
        <v>8989697390</v>
      </c>
      <c r="D709" s="2">
        <v>1</v>
      </c>
      <c r="E709" t="str">
        <f>"4574674200443471"</f>
        <v>4574674200443471</v>
      </c>
      <c r="F709" t="str">
        <f>"929"</f>
        <v>929</v>
      </c>
      <c r="G709">
        <v>1</v>
      </c>
      <c r="H709">
        <v>2023</v>
      </c>
      <c r="I709" t="s">
        <v>824</v>
      </c>
    </row>
    <row r="710" spans="1:9" x14ac:dyDescent="0.3">
      <c r="A710" t="s">
        <v>10157</v>
      </c>
      <c r="B710" t="s">
        <v>64</v>
      </c>
      <c r="C710">
        <v>8989697390</v>
      </c>
      <c r="D710" s="2">
        <v>1</v>
      </c>
      <c r="E710" t="str">
        <f>"4574674200443497"</f>
        <v>4574674200443497</v>
      </c>
      <c r="F710" t="str">
        <f>"605"</f>
        <v>605</v>
      </c>
      <c r="G710">
        <v>1</v>
      </c>
      <c r="H710">
        <v>2023</v>
      </c>
      <c r="I710" t="s">
        <v>825</v>
      </c>
    </row>
    <row r="711" spans="1:9" x14ac:dyDescent="0.3">
      <c r="A711" t="s">
        <v>10157</v>
      </c>
      <c r="B711" t="s">
        <v>64</v>
      </c>
      <c r="C711">
        <v>8989697390</v>
      </c>
      <c r="D711" s="2">
        <v>1</v>
      </c>
      <c r="E711" t="str">
        <f>"4574674200443232"</f>
        <v>4574674200443232</v>
      </c>
      <c r="F711" t="str">
        <f>"571"</f>
        <v>571</v>
      </c>
      <c r="G711">
        <v>1</v>
      </c>
      <c r="H711">
        <v>2023</v>
      </c>
      <c r="I711" t="s">
        <v>826</v>
      </c>
    </row>
    <row r="712" spans="1:9" x14ac:dyDescent="0.3">
      <c r="A712" t="s">
        <v>10158</v>
      </c>
      <c r="B712" t="s">
        <v>65</v>
      </c>
      <c r="C712">
        <v>8989697390</v>
      </c>
      <c r="D712" s="2">
        <v>1</v>
      </c>
      <c r="E712" t="str">
        <f>"4574674200443281"</f>
        <v>4574674200443281</v>
      </c>
      <c r="F712" t="str">
        <f>"116"</f>
        <v>116</v>
      </c>
      <c r="G712">
        <v>1</v>
      </c>
      <c r="H712">
        <v>2023</v>
      </c>
      <c r="I712" t="s">
        <v>827</v>
      </c>
    </row>
    <row r="713" spans="1:9" x14ac:dyDescent="0.3">
      <c r="A713" t="s">
        <v>10158</v>
      </c>
      <c r="B713" t="s">
        <v>65</v>
      </c>
      <c r="C713">
        <v>8989697390</v>
      </c>
      <c r="D713" s="2">
        <v>1</v>
      </c>
      <c r="E713" t="str">
        <f>"4574674200443653"</f>
        <v>4574674200443653</v>
      </c>
      <c r="F713" t="str">
        <f>"600"</f>
        <v>600</v>
      </c>
      <c r="G713">
        <v>1</v>
      </c>
      <c r="H713">
        <v>2023</v>
      </c>
      <c r="I713" t="s">
        <v>828</v>
      </c>
    </row>
    <row r="714" spans="1:9" x14ac:dyDescent="0.3">
      <c r="A714" t="s">
        <v>10158</v>
      </c>
      <c r="B714" t="s">
        <v>65</v>
      </c>
      <c r="C714">
        <v>8989697390</v>
      </c>
      <c r="D714" s="2">
        <v>1</v>
      </c>
      <c r="E714" t="str">
        <f>"4574674200443299"</f>
        <v>4574674200443299</v>
      </c>
      <c r="F714" t="str">
        <f>"753"</f>
        <v>753</v>
      </c>
      <c r="G714">
        <v>1</v>
      </c>
      <c r="H714">
        <v>2023</v>
      </c>
      <c r="I714" t="s">
        <v>829</v>
      </c>
    </row>
    <row r="715" spans="1:9" x14ac:dyDescent="0.3">
      <c r="A715" t="s">
        <v>10158</v>
      </c>
      <c r="B715" t="s">
        <v>65</v>
      </c>
      <c r="C715">
        <v>8989697390</v>
      </c>
      <c r="D715" s="2">
        <v>1</v>
      </c>
      <c r="E715" t="str">
        <f>"4574674200443315"</f>
        <v>4574674200443315</v>
      </c>
      <c r="F715" t="str">
        <f>"705"</f>
        <v>705</v>
      </c>
      <c r="G715">
        <v>1</v>
      </c>
      <c r="H715">
        <v>2023</v>
      </c>
      <c r="I715" t="s">
        <v>830</v>
      </c>
    </row>
    <row r="716" spans="1:9" x14ac:dyDescent="0.3">
      <c r="A716" t="s">
        <v>10158</v>
      </c>
      <c r="B716" t="s">
        <v>65</v>
      </c>
      <c r="C716">
        <v>8989697390</v>
      </c>
      <c r="D716" s="2">
        <v>1</v>
      </c>
      <c r="E716" t="str">
        <f>"4574674200969194"</f>
        <v>4574674200969194</v>
      </c>
      <c r="F716" t="str">
        <f>"052"</f>
        <v>052</v>
      </c>
      <c r="G716">
        <v>1</v>
      </c>
      <c r="H716">
        <v>2023</v>
      </c>
      <c r="I716" t="s">
        <v>831</v>
      </c>
    </row>
    <row r="717" spans="1:9" x14ac:dyDescent="0.3">
      <c r="A717" t="s">
        <v>10158</v>
      </c>
      <c r="B717" t="s">
        <v>65</v>
      </c>
      <c r="C717">
        <v>8989697390</v>
      </c>
      <c r="D717" s="2">
        <v>1</v>
      </c>
      <c r="E717" t="str">
        <f>"4574674200443695"</f>
        <v>4574674200443695</v>
      </c>
      <c r="F717" t="str">
        <f>"314"</f>
        <v>314</v>
      </c>
      <c r="G717">
        <v>1</v>
      </c>
      <c r="H717">
        <v>2023</v>
      </c>
      <c r="I717" t="s">
        <v>832</v>
      </c>
    </row>
    <row r="718" spans="1:9" x14ac:dyDescent="0.3">
      <c r="A718" t="s">
        <v>10158</v>
      </c>
      <c r="B718" t="s">
        <v>65</v>
      </c>
      <c r="C718">
        <v>8989697390</v>
      </c>
      <c r="D718" s="2">
        <v>1</v>
      </c>
      <c r="E718" t="str">
        <f>"4574674200443331"</f>
        <v>4574674200443331</v>
      </c>
      <c r="F718" t="str">
        <f>"066"</f>
        <v>066</v>
      </c>
      <c r="G718">
        <v>1</v>
      </c>
      <c r="H718">
        <v>2023</v>
      </c>
      <c r="I718" t="s">
        <v>833</v>
      </c>
    </row>
    <row r="719" spans="1:9" x14ac:dyDescent="0.3">
      <c r="A719" t="s">
        <v>10158</v>
      </c>
      <c r="B719" t="s">
        <v>65</v>
      </c>
      <c r="C719">
        <v>8989697390</v>
      </c>
      <c r="D719" s="2">
        <v>1</v>
      </c>
      <c r="E719" t="str">
        <f>"4574674200443349"</f>
        <v>4574674200443349</v>
      </c>
      <c r="F719" t="str">
        <f>"841"</f>
        <v>841</v>
      </c>
      <c r="G719">
        <v>1</v>
      </c>
      <c r="H719">
        <v>2023</v>
      </c>
      <c r="I719" t="s">
        <v>834</v>
      </c>
    </row>
    <row r="720" spans="1:9" x14ac:dyDescent="0.3">
      <c r="A720" t="s">
        <v>10158</v>
      </c>
      <c r="B720" t="s">
        <v>65</v>
      </c>
      <c r="C720">
        <v>8989697390</v>
      </c>
      <c r="D720" s="2">
        <v>1</v>
      </c>
      <c r="E720" t="str">
        <f>"4574674200443794"</f>
        <v>4574674200443794</v>
      </c>
      <c r="F720" t="str">
        <f>"968"</f>
        <v>968</v>
      </c>
      <c r="G720">
        <v>1</v>
      </c>
      <c r="H720">
        <v>2023</v>
      </c>
      <c r="I720" t="s">
        <v>835</v>
      </c>
    </row>
    <row r="721" spans="1:9" x14ac:dyDescent="0.3">
      <c r="A721" t="s">
        <v>10158</v>
      </c>
      <c r="B721" t="s">
        <v>65</v>
      </c>
      <c r="C721">
        <v>8989697390</v>
      </c>
      <c r="D721" s="2">
        <v>1</v>
      </c>
      <c r="E721" t="str">
        <f>"4574674200444008"</f>
        <v>4574674200444008</v>
      </c>
      <c r="F721" t="str">
        <f>"785"</f>
        <v>785</v>
      </c>
      <c r="G721">
        <v>1</v>
      </c>
      <c r="H721">
        <v>2023</v>
      </c>
      <c r="I721" t="s">
        <v>836</v>
      </c>
    </row>
    <row r="722" spans="1:9" x14ac:dyDescent="0.3">
      <c r="A722" t="s">
        <v>10159</v>
      </c>
      <c r="B722" t="s">
        <v>66</v>
      </c>
      <c r="C722">
        <v>8989697390</v>
      </c>
      <c r="D722" s="2">
        <v>1</v>
      </c>
      <c r="E722" t="str">
        <f>"4574674200443869"</f>
        <v>4574674200443869</v>
      </c>
      <c r="F722" t="str">
        <f>"260"</f>
        <v>260</v>
      </c>
      <c r="G722">
        <v>1</v>
      </c>
      <c r="H722">
        <v>2023</v>
      </c>
      <c r="I722" t="s">
        <v>837</v>
      </c>
    </row>
    <row r="723" spans="1:9" x14ac:dyDescent="0.3">
      <c r="A723" t="s">
        <v>10159</v>
      </c>
      <c r="B723" t="s">
        <v>66</v>
      </c>
      <c r="C723">
        <v>8989697390</v>
      </c>
      <c r="D723" s="2">
        <v>1</v>
      </c>
      <c r="E723" t="str">
        <f>"4574674200443950"</f>
        <v>4574674200443950</v>
      </c>
      <c r="F723" t="str">
        <f>"912"</f>
        <v>912</v>
      </c>
      <c r="G723">
        <v>1</v>
      </c>
      <c r="H723">
        <v>2023</v>
      </c>
      <c r="I723" t="s">
        <v>838</v>
      </c>
    </row>
    <row r="724" spans="1:9" x14ac:dyDescent="0.3">
      <c r="A724" t="s">
        <v>10159</v>
      </c>
      <c r="B724" t="s">
        <v>66</v>
      </c>
      <c r="C724">
        <v>8989697390</v>
      </c>
      <c r="D724" s="2">
        <v>1</v>
      </c>
      <c r="E724" t="str">
        <f>"4574674200444032"</f>
        <v>4574674200444032</v>
      </c>
      <c r="F724" t="str">
        <f>"956"</f>
        <v>956</v>
      </c>
      <c r="G724">
        <v>1</v>
      </c>
      <c r="H724">
        <v>2023</v>
      </c>
      <c r="I724" t="s">
        <v>839</v>
      </c>
    </row>
    <row r="725" spans="1:9" x14ac:dyDescent="0.3">
      <c r="A725" t="s">
        <v>10159</v>
      </c>
      <c r="B725" t="s">
        <v>66</v>
      </c>
      <c r="C725">
        <v>8989697390</v>
      </c>
      <c r="D725" s="2">
        <v>1</v>
      </c>
      <c r="E725" t="str">
        <f>"4574674200968329"</f>
        <v>4574674200968329</v>
      </c>
      <c r="F725" t="str">
        <f>"100"</f>
        <v>100</v>
      </c>
      <c r="G725">
        <v>1</v>
      </c>
      <c r="H725">
        <v>2023</v>
      </c>
      <c r="I725" t="s">
        <v>840</v>
      </c>
    </row>
    <row r="726" spans="1:9" x14ac:dyDescent="0.3">
      <c r="A726" t="s">
        <v>10159</v>
      </c>
      <c r="B726" t="s">
        <v>66</v>
      </c>
      <c r="C726">
        <v>8989697390</v>
      </c>
      <c r="D726" s="2">
        <v>1</v>
      </c>
      <c r="E726" t="str">
        <f>"4574674200969319"</f>
        <v>4574674200969319</v>
      </c>
      <c r="F726" t="str">
        <f>"029"</f>
        <v>029</v>
      </c>
      <c r="G726">
        <v>1</v>
      </c>
      <c r="H726">
        <v>2023</v>
      </c>
      <c r="I726" t="s">
        <v>841</v>
      </c>
    </row>
    <row r="727" spans="1:9" x14ac:dyDescent="0.3">
      <c r="A727" t="s">
        <v>10159</v>
      </c>
      <c r="B727" t="s">
        <v>66</v>
      </c>
      <c r="C727">
        <v>8989697390</v>
      </c>
      <c r="D727" s="2">
        <v>1</v>
      </c>
      <c r="E727" t="str">
        <f>"4574674200444214"</f>
        <v>4574674200444214</v>
      </c>
      <c r="F727" t="str">
        <f>"561"</f>
        <v>561</v>
      </c>
      <c r="G727">
        <v>1</v>
      </c>
      <c r="H727">
        <v>2023</v>
      </c>
      <c r="I727" t="s">
        <v>842</v>
      </c>
    </row>
    <row r="728" spans="1:9" x14ac:dyDescent="0.3">
      <c r="A728" t="s">
        <v>10159</v>
      </c>
      <c r="B728" t="s">
        <v>66</v>
      </c>
      <c r="C728">
        <v>8989697390</v>
      </c>
      <c r="D728" s="2">
        <v>1</v>
      </c>
      <c r="E728" t="str">
        <f>"4574674200969350"</f>
        <v>4574674200969350</v>
      </c>
      <c r="F728" t="str">
        <f>"784"</f>
        <v>784</v>
      </c>
      <c r="G728">
        <v>1</v>
      </c>
      <c r="H728">
        <v>2023</v>
      </c>
      <c r="I728" t="s">
        <v>843</v>
      </c>
    </row>
    <row r="729" spans="1:9" x14ac:dyDescent="0.3">
      <c r="A729" t="s">
        <v>10159</v>
      </c>
      <c r="B729" t="s">
        <v>66</v>
      </c>
      <c r="C729">
        <v>8989697390</v>
      </c>
      <c r="D729" s="2">
        <v>1</v>
      </c>
      <c r="E729" t="str">
        <f>"4574674200969376"</f>
        <v>4574674200969376</v>
      </c>
      <c r="F729" t="str">
        <f>"875"</f>
        <v>875</v>
      </c>
      <c r="G729">
        <v>1</v>
      </c>
      <c r="H729">
        <v>2023</v>
      </c>
      <c r="I729" t="s">
        <v>844</v>
      </c>
    </row>
    <row r="730" spans="1:9" x14ac:dyDescent="0.3">
      <c r="A730" t="s">
        <v>10159</v>
      </c>
      <c r="B730" t="s">
        <v>66</v>
      </c>
      <c r="C730">
        <v>8989697390</v>
      </c>
      <c r="D730" s="2">
        <v>1</v>
      </c>
      <c r="E730" t="str">
        <f>"4574674200969434"</f>
        <v>4574674200969434</v>
      </c>
      <c r="F730" t="str">
        <f>"103"</f>
        <v>103</v>
      </c>
      <c r="G730">
        <v>1</v>
      </c>
      <c r="H730">
        <v>2023</v>
      </c>
      <c r="I730" t="s">
        <v>845</v>
      </c>
    </row>
    <row r="731" spans="1:9" x14ac:dyDescent="0.3">
      <c r="A731" t="s">
        <v>10159</v>
      </c>
      <c r="B731" t="s">
        <v>66</v>
      </c>
      <c r="C731">
        <v>8989697390</v>
      </c>
      <c r="D731" s="2">
        <v>1</v>
      </c>
      <c r="E731" t="str">
        <f>"4574674200969467"</f>
        <v>4574674200969467</v>
      </c>
      <c r="F731" t="str">
        <f>"098"</f>
        <v>098</v>
      </c>
      <c r="G731">
        <v>1</v>
      </c>
      <c r="H731">
        <v>2023</v>
      </c>
      <c r="I731" t="s">
        <v>846</v>
      </c>
    </row>
    <row r="732" spans="1:9" x14ac:dyDescent="0.3">
      <c r="A732" t="s">
        <v>10130</v>
      </c>
      <c r="B732" t="s">
        <v>67</v>
      </c>
      <c r="C732">
        <v>8989697390</v>
      </c>
      <c r="D732" s="2">
        <v>1</v>
      </c>
      <c r="E732" t="str">
        <f>"4574674200969517"</f>
        <v>4574674200969517</v>
      </c>
      <c r="F732" t="str">
        <f>"428"</f>
        <v>428</v>
      </c>
      <c r="G732">
        <v>1</v>
      </c>
      <c r="H732">
        <v>2023</v>
      </c>
      <c r="I732" t="s">
        <v>847</v>
      </c>
    </row>
    <row r="733" spans="1:9" x14ac:dyDescent="0.3">
      <c r="A733" t="s">
        <v>10130</v>
      </c>
      <c r="B733" t="s">
        <v>67</v>
      </c>
      <c r="C733">
        <v>8989697390</v>
      </c>
      <c r="D733" s="2">
        <v>1</v>
      </c>
      <c r="E733" t="str">
        <f>"4574674200968337"</f>
        <v>4574674200968337</v>
      </c>
      <c r="F733" t="str">
        <f>"158"</f>
        <v>158</v>
      </c>
      <c r="G733">
        <v>1</v>
      </c>
      <c r="H733">
        <v>2023</v>
      </c>
      <c r="I733" t="s">
        <v>848</v>
      </c>
    </row>
    <row r="734" spans="1:9" x14ac:dyDescent="0.3">
      <c r="A734" t="s">
        <v>10130</v>
      </c>
      <c r="B734" t="s">
        <v>67</v>
      </c>
      <c r="C734">
        <v>8989697390</v>
      </c>
      <c r="D734" s="2">
        <v>1</v>
      </c>
      <c r="E734" t="str">
        <f>"4574674200969525"</f>
        <v>4574674200969525</v>
      </c>
      <c r="F734" t="str">
        <f>"442"</f>
        <v>442</v>
      </c>
      <c r="G734">
        <v>1</v>
      </c>
      <c r="H734">
        <v>2023</v>
      </c>
      <c r="I734" t="s">
        <v>849</v>
      </c>
    </row>
    <row r="735" spans="1:9" x14ac:dyDescent="0.3">
      <c r="A735" t="s">
        <v>10130</v>
      </c>
      <c r="B735" t="s">
        <v>67</v>
      </c>
      <c r="C735">
        <v>8989697390</v>
      </c>
      <c r="D735" s="2">
        <v>1</v>
      </c>
      <c r="E735" t="str">
        <f>"4574674200969541"</f>
        <v>4574674200969541</v>
      </c>
      <c r="F735" t="str">
        <f>"709"</f>
        <v>709</v>
      </c>
      <c r="G735">
        <v>1</v>
      </c>
      <c r="H735">
        <v>2023</v>
      </c>
      <c r="I735" t="s">
        <v>850</v>
      </c>
    </row>
    <row r="736" spans="1:9" x14ac:dyDescent="0.3">
      <c r="A736" t="s">
        <v>10130</v>
      </c>
      <c r="B736" t="s">
        <v>67</v>
      </c>
      <c r="C736">
        <v>8989697390</v>
      </c>
      <c r="D736" s="2">
        <v>1</v>
      </c>
      <c r="E736" t="str">
        <f>"4574674200969574"</f>
        <v>4574674200969574</v>
      </c>
      <c r="F736" t="str">
        <f>"291"</f>
        <v>291</v>
      </c>
      <c r="G736">
        <v>1</v>
      </c>
      <c r="H736">
        <v>2023</v>
      </c>
      <c r="I736" t="s">
        <v>851</v>
      </c>
    </row>
    <row r="737" spans="1:9" x14ac:dyDescent="0.3">
      <c r="A737" t="s">
        <v>10130</v>
      </c>
      <c r="B737" t="s">
        <v>67</v>
      </c>
      <c r="C737">
        <v>8989697390</v>
      </c>
      <c r="D737" s="2">
        <v>1</v>
      </c>
      <c r="E737" t="str">
        <f>"4574674200969608"</f>
        <v>4574674200969608</v>
      </c>
      <c r="F737" t="str">
        <f>"835"</f>
        <v>835</v>
      </c>
      <c r="G737">
        <v>1</v>
      </c>
      <c r="H737">
        <v>2023</v>
      </c>
      <c r="I737" t="s">
        <v>852</v>
      </c>
    </row>
    <row r="738" spans="1:9" x14ac:dyDescent="0.3">
      <c r="A738" t="s">
        <v>10130</v>
      </c>
      <c r="B738" t="s">
        <v>67</v>
      </c>
      <c r="C738">
        <v>8989697390</v>
      </c>
      <c r="D738" s="2">
        <v>1</v>
      </c>
      <c r="E738" t="str">
        <f>"4574674200968360"</f>
        <v>4574674200968360</v>
      </c>
      <c r="F738" t="str">
        <f>"306"</f>
        <v>306</v>
      </c>
      <c r="G738">
        <v>1</v>
      </c>
      <c r="H738">
        <v>2023</v>
      </c>
      <c r="I738" t="s">
        <v>853</v>
      </c>
    </row>
    <row r="739" spans="1:9" x14ac:dyDescent="0.3">
      <c r="A739" t="s">
        <v>10130</v>
      </c>
      <c r="B739" t="s">
        <v>67</v>
      </c>
      <c r="C739">
        <v>8989697390</v>
      </c>
      <c r="D739" s="2">
        <v>1</v>
      </c>
      <c r="E739" t="str">
        <f>"4574674200969699"</f>
        <v>4574674200969699</v>
      </c>
      <c r="F739" t="str">
        <f>"798"</f>
        <v>798</v>
      </c>
      <c r="G739">
        <v>1</v>
      </c>
      <c r="H739">
        <v>2023</v>
      </c>
      <c r="I739" t="s">
        <v>854</v>
      </c>
    </row>
    <row r="740" spans="1:9" x14ac:dyDescent="0.3">
      <c r="A740" t="s">
        <v>10130</v>
      </c>
      <c r="B740" t="s">
        <v>67</v>
      </c>
      <c r="C740">
        <v>8989697390</v>
      </c>
      <c r="D740" s="2">
        <v>1</v>
      </c>
      <c r="E740" t="str">
        <f>"4574674200969681"</f>
        <v>4574674200969681</v>
      </c>
      <c r="F740" t="str">
        <f>"534"</f>
        <v>534</v>
      </c>
      <c r="G740">
        <v>1</v>
      </c>
      <c r="H740">
        <v>2023</v>
      </c>
      <c r="I740" t="s">
        <v>855</v>
      </c>
    </row>
    <row r="741" spans="1:9" x14ac:dyDescent="0.3">
      <c r="A741" t="s">
        <v>10130</v>
      </c>
      <c r="B741" t="s">
        <v>67</v>
      </c>
      <c r="C741">
        <v>8989697390</v>
      </c>
      <c r="D741" s="2">
        <v>1</v>
      </c>
      <c r="E741" t="str">
        <f>"4574674200969715"</f>
        <v>4574674200969715</v>
      </c>
      <c r="F741" t="str">
        <f>"835"</f>
        <v>835</v>
      </c>
      <c r="G741">
        <v>1</v>
      </c>
      <c r="H741">
        <v>2023</v>
      </c>
      <c r="I741" t="s">
        <v>856</v>
      </c>
    </row>
    <row r="742" spans="1:9" x14ac:dyDescent="0.3">
      <c r="A742" t="s">
        <v>10132</v>
      </c>
      <c r="B742" t="s">
        <v>68</v>
      </c>
      <c r="C742">
        <v>8989697390</v>
      </c>
      <c r="D742" s="2">
        <v>1</v>
      </c>
      <c r="E742" t="str">
        <f>"4574674200969764"</f>
        <v>4574674200969764</v>
      </c>
      <c r="F742" t="str">
        <f>"834"</f>
        <v>834</v>
      </c>
      <c r="G742">
        <v>1</v>
      </c>
      <c r="H742">
        <v>2023</v>
      </c>
      <c r="I742" t="s">
        <v>857</v>
      </c>
    </row>
    <row r="743" spans="1:9" x14ac:dyDescent="0.3">
      <c r="A743" t="s">
        <v>10132</v>
      </c>
      <c r="B743" t="s">
        <v>68</v>
      </c>
      <c r="C743">
        <v>8989697390</v>
      </c>
      <c r="D743" s="2">
        <v>1</v>
      </c>
      <c r="E743" t="str">
        <f>"4574674200969822"</f>
        <v>4574674200969822</v>
      </c>
      <c r="F743" t="str">
        <f>"817"</f>
        <v>817</v>
      </c>
      <c r="G743">
        <v>1</v>
      </c>
      <c r="H743">
        <v>2023</v>
      </c>
      <c r="I743" t="s">
        <v>858</v>
      </c>
    </row>
    <row r="744" spans="1:9" x14ac:dyDescent="0.3">
      <c r="A744" t="s">
        <v>10132</v>
      </c>
      <c r="B744" t="s">
        <v>68</v>
      </c>
      <c r="C744">
        <v>8989697390</v>
      </c>
      <c r="D744" s="2">
        <v>1</v>
      </c>
      <c r="E744" t="str">
        <f>"4574674200969855"</f>
        <v>4574674200969855</v>
      </c>
      <c r="F744" t="str">
        <f>"131"</f>
        <v>131</v>
      </c>
      <c r="G744">
        <v>1</v>
      </c>
      <c r="H744">
        <v>2023</v>
      </c>
      <c r="I744" t="s">
        <v>859</v>
      </c>
    </row>
    <row r="745" spans="1:9" x14ac:dyDescent="0.3">
      <c r="A745" t="s">
        <v>10132</v>
      </c>
      <c r="B745" t="s">
        <v>68</v>
      </c>
      <c r="C745">
        <v>8989697390</v>
      </c>
      <c r="D745" s="2">
        <v>1</v>
      </c>
      <c r="E745" t="str">
        <f>"4574674200969871"</f>
        <v>4574674200969871</v>
      </c>
      <c r="F745" t="str">
        <f>"570"</f>
        <v>570</v>
      </c>
      <c r="G745">
        <v>1</v>
      </c>
      <c r="H745">
        <v>2023</v>
      </c>
      <c r="I745" t="s">
        <v>860</v>
      </c>
    </row>
    <row r="746" spans="1:9" x14ac:dyDescent="0.3">
      <c r="A746" t="s">
        <v>10132</v>
      </c>
      <c r="B746" t="s">
        <v>68</v>
      </c>
      <c r="C746">
        <v>8989697390</v>
      </c>
      <c r="D746" s="2">
        <v>1</v>
      </c>
      <c r="E746" t="str">
        <f>"4574674200443968"</f>
        <v>4574674200443968</v>
      </c>
      <c r="F746" t="str">
        <f>"446"</f>
        <v>446</v>
      </c>
      <c r="G746">
        <v>1</v>
      </c>
      <c r="H746">
        <v>2023</v>
      </c>
      <c r="I746" t="s">
        <v>861</v>
      </c>
    </row>
    <row r="747" spans="1:9" x14ac:dyDescent="0.3">
      <c r="A747" t="s">
        <v>10132</v>
      </c>
      <c r="B747" t="s">
        <v>68</v>
      </c>
      <c r="C747">
        <v>8989697390</v>
      </c>
      <c r="D747" s="2">
        <v>1</v>
      </c>
      <c r="E747" t="str">
        <f>"4574674200968378"</f>
        <v>4574674200968378</v>
      </c>
      <c r="F747" t="str">
        <f>"692"</f>
        <v>692</v>
      </c>
      <c r="G747">
        <v>1</v>
      </c>
      <c r="H747">
        <v>2023</v>
      </c>
      <c r="I747" t="s">
        <v>862</v>
      </c>
    </row>
    <row r="748" spans="1:9" x14ac:dyDescent="0.3">
      <c r="A748" t="s">
        <v>10132</v>
      </c>
      <c r="B748" t="s">
        <v>68</v>
      </c>
      <c r="C748">
        <v>8989697390</v>
      </c>
      <c r="D748" s="2">
        <v>1</v>
      </c>
      <c r="E748" t="str">
        <f>"4574674200969889"</f>
        <v>4574674200969889</v>
      </c>
      <c r="F748" t="str">
        <f>"123"</f>
        <v>123</v>
      </c>
      <c r="G748">
        <v>1</v>
      </c>
      <c r="H748">
        <v>2023</v>
      </c>
      <c r="I748" t="s">
        <v>863</v>
      </c>
    </row>
    <row r="749" spans="1:9" x14ac:dyDescent="0.3">
      <c r="A749" t="s">
        <v>10132</v>
      </c>
      <c r="B749" t="s">
        <v>68</v>
      </c>
      <c r="C749">
        <v>8989697390</v>
      </c>
      <c r="D749" s="2">
        <v>1</v>
      </c>
      <c r="E749" t="str">
        <f>"4574674200969947"</f>
        <v>4574674200969947</v>
      </c>
      <c r="F749" t="str">
        <f>"587"</f>
        <v>587</v>
      </c>
      <c r="G749">
        <v>1</v>
      </c>
      <c r="H749">
        <v>2023</v>
      </c>
      <c r="I749" t="s">
        <v>864</v>
      </c>
    </row>
    <row r="750" spans="1:9" x14ac:dyDescent="0.3">
      <c r="A750" t="s">
        <v>10132</v>
      </c>
      <c r="B750" t="s">
        <v>68</v>
      </c>
      <c r="C750">
        <v>8989697390</v>
      </c>
      <c r="D750" s="2">
        <v>1</v>
      </c>
      <c r="E750" t="str">
        <f>"4574674200444040"</f>
        <v>4574674200444040</v>
      </c>
      <c r="F750" t="str">
        <f>"175"</f>
        <v>175</v>
      </c>
      <c r="G750">
        <v>1</v>
      </c>
      <c r="H750">
        <v>2023</v>
      </c>
      <c r="I750" t="s">
        <v>865</v>
      </c>
    </row>
    <row r="751" spans="1:9" x14ac:dyDescent="0.3">
      <c r="A751" t="s">
        <v>10132</v>
      </c>
      <c r="B751" t="s">
        <v>68</v>
      </c>
      <c r="C751">
        <v>8989697390</v>
      </c>
      <c r="D751" s="2">
        <v>1</v>
      </c>
      <c r="E751" t="str">
        <f>"4574674200969970"</f>
        <v>4574674200969970</v>
      </c>
      <c r="F751" t="str">
        <f>"363"</f>
        <v>363</v>
      </c>
      <c r="G751">
        <v>1</v>
      </c>
      <c r="H751">
        <v>2023</v>
      </c>
      <c r="I751" t="s">
        <v>866</v>
      </c>
    </row>
    <row r="752" spans="1:9" x14ac:dyDescent="0.3">
      <c r="A752" t="s">
        <v>10168</v>
      </c>
      <c r="B752" t="s">
        <v>69</v>
      </c>
      <c r="C752">
        <v>8989697390</v>
      </c>
      <c r="D752" s="2">
        <v>1</v>
      </c>
      <c r="E752" t="str">
        <f>"4574674200970002"</f>
        <v>4574674200970002</v>
      </c>
      <c r="F752" t="str">
        <f>"255"</f>
        <v>255</v>
      </c>
      <c r="G752">
        <v>1</v>
      </c>
      <c r="H752">
        <v>2023</v>
      </c>
      <c r="I752" t="s">
        <v>867</v>
      </c>
    </row>
    <row r="753" spans="1:9" x14ac:dyDescent="0.3">
      <c r="A753" t="s">
        <v>10168</v>
      </c>
      <c r="B753" t="s">
        <v>69</v>
      </c>
      <c r="C753">
        <v>8989697390</v>
      </c>
      <c r="D753" s="2">
        <v>1</v>
      </c>
      <c r="E753" t="str">
        <f>"4574674200970200"</f>
        <v>4574674200970200</v>
      </c>
      <c r="F753" t="str">
        <f>"117"</f>
        <v>117</v>
      </c>
      <c r="G753">
        <v>1</v>
      </c>
      <c r="H753">
        <v>2023</v>
      </c>
      <c r="I753" t="s">
        <v>868</v>
      </c>
    </row>
    <row r="754" spans="1:9" x14ac:dyDescent="0.3">
      <c r="A754" t="s">
        <v>10168</v>
      </c>
      <c r="B754" t="s">
        <v>69</v>
      </c>
      <c r="C754">
        <v>8989697390</v>
      </c>
      <c r="D754" s="2">
        <v>1</v>
      </c>
      <c r="E754" t="str">
        <f>"4574674200444305"</f>
        <v>4574674200444305</v>
      </c>
      <c r="F754" t="str">
        <f>"191"</f>
        <v>191</v>
      </c>
      <c r="G754">
        <v>1</v>
      </c>
      <c r="H754">
        <v>2023</v>
      </c>
      <c r="I754" t="s">
        <v>869</v>
      </c>
    </row>
    <row r="755" spans="1:9" x14ac:dyDescent="0.3">
      <c r="A755" t="s">
        <v>10168</v>
      </c>
      <c r="B755" t="s">
        <v>69</v>
      </c>
      <c r="C755">
        <v>8989697390</v>
      </c>
      <c r="D755" s="2">
        <v>1</v>
      </c>
      <c r="E755" t="str">
        <f>"4574674200970044"</f>
        <v>4574674200970044</v>
      </c>
      <c r="F755" t="str">
        <f>"637"</f>
        <v>637</v>
      </c>
      <c r="G755">
        <v>1</v>
      </c>
      <c r="H755">
        <v>2023</v>
      </c>
      <c r="I755" t="s">
        <v>870</v>
      </c>
    </row>
    <row r="756" spans="1:9" x14ac:dyDescent="0.3">
      <c r="A756" t="s">
        <v>10168</v>
      </c>
      <c r="B756" t="s">
        <v>69</v>
      </c>
      <c r="C756">
        <v>8989697390</v>
      </c>
      <c r="D756" s="2">
        <v>1</v>
      </c>
      <c r="E756" t="str">
        <f>"4574674200970051"</f>
        <v>4574674200970051</v>
      </c>
      <c r="F756" t="str">
        <f>"386"</f>
        <v>386</v>
      </c>
      <c r="G756">
        <v>1</v>
      </c>
      <c r="H756">
        <v>2023</v>
      </c>
      <c r="I756" t="s">
        <v>871</v>
      </c>
    </row>
    <row r="757" spans="1:9" x14ac:dyDescent="0.3">
      <c r="A757" t="s">
        <v>10168</v>
      </c>
      <c r="B757" t="s">
        <v>69</v>
      </c>
      <c r="C757">
        <v>8989697390</v>
      </c>
      <c r="D757" s="2">
        <v>1</v>
      </c>
      <c r="E757" t="str">
        <f>"4574674200970119"</f>
        <v>4574674200970119</v>
      </c>
      <c r="F757" t="str">
        <f>"582"</f>
        <v>582</v>
      </c>
      <c r="G757">
        <v>1</v>
      </c>
      <c r="H757">
        <v>2023</v>
      </c>
      <c r="I757" t="s">
        <v>872</v>
      </c>
    </row>
    <row r="758" spans="1:9" x14ac:dyDescent="0.3">
      <c r="A758" t="s">
        <v>10168</v>
      </c>
      <c r="B758" t="s">
        <v>69</v>
      </c>
      <c r="C758">
        <v>8989697390</v>
      </c>
      <c r="D758" s="2">
        <v>1</v>
      </c>
      <c r="E758" t="str">
        <f>"4574674200444289"</f>
        <v>4574674200444289</v>
      </c>
      <c r="F758" t="str">
        <f>"151"</f>
        <v>151</v>
      </c>
      <c r="G758">
        <v>1</v>
      </c>
      <c r="H758">
        <v>2023</v>
      </c>
      <c r="I758" t="s">
        <v>873</v>
      </c>
    </row>
    <row r="759" spans="1:9" x14ac:dyDescent="0.3">
      <c r="A759" t="s">
        <v>10168</v>
      </c>
      <c r="B759" t="s">
        <v>69</v>
      </c>
      <c r="C759">
        <v>8989697390</v>
      </c>
      <c r="D759" s="2">
        <v>1</v>
      </c>
      <c r="E759" t="str">
        <f>"4574674200970135"</f>
        <v>4574674200970135</v>
      </c>
      <c r="F759" t="str">
        <f>"756"</f>
        <v>756</v>
      </c>
      <c r="G759">
        <v>1</v>
      </c>
      <c r="H759">
        <v>2023</v>
      </c>
      <c r="I759" t="s">
        <v>874</v>
      </c>
    </row>
    <row r="760" spans="1:9" x14ac:dyDescent="0.3">
      <c r="A760" t="s">
        <v>10168</v>
      </c>
      <c r="B760" t="s">
        <v>69</v>
      </c>
      <c r="C760">
        <v>8989697390</v>
      </c>
      <c r="D760" s="2">
        <v>1</v>
      </c>
      <c r="E760" t="str">
        <f>"4574674200970168"</f>
        <v>4574674200970168</v>
      </c>
      <c r="F760" t="str">
        <f>"375"</f>
        <v>375</v>
      </c>
      <c r="G760">
        <v>1</v>
      </c>
      <c r="H760">
        <v>2023</v>
      </c>
      <c r="I760" t="s">
        <v>875</v>
      </c>
    </row>
    <row r="761" spans="1:9" x14ac:dyDescent="0.3">
      <c r="A761" t="s">
        <v>10168</v>
      </c>
      <c r="B761" t="s">
        <v>69</v>
      </c>
      <c r="C761">
        <v>8989697390</v>
      </c>
      <c r="D761" s="2">
        <v>1</v>
      </c>
      <c r="E761" t="str">
        <f>"4574674200970408"</f>
        <v>4574674200970408</v>
      </c>
      <c r="F761" t="str">
        <f>"596"</f>
        <v>596</v>
      </c>
      <c r="G761">
        <v>1</v>
      </c>
      <c r="H761">
        <v>2023</v>
      </c>
      <c r="I761" t="s">
        <v>876</v>
      </c>
    </row>
    <row r="762" spans="1:9" x14ac:dyDescent="0.3">
      <c r="A762" t="s">
        <v>10169</v>
      </c>
      <c r="B762" t="s">
        <v>70</v>
      </c>
      <c r="C762">
        <v>8989697390</v>
      </c>
      <c r="D762" s="2">
        <v>1</v>
      </c>
      <c r="E762" t="str">
        <f>"4574674200444339"</f>
        <v>4574674200444339</v>
      </c>
      <c r="F762" t="str">
        <f>"199"</f>
        <v>199</v>
      </c>
      <c r="G762">
        <v>1</v>
      </c>
      <c r="H762">
        <v>2023</v>
      </c>
      <c r="I762" t="s">
        <v>877</v>
      </c>
    </row>
    <row r="763" spans="1:9" x14ac:dyDescent="0.3">
      <c r="A763" t="s">
        <v>10169</v>
      </c>
      <c r="B763" t="s">
        <v>70</v>
      </c>
      <c r="C763">
        <v>8989697390</v>
      </c>
      <c r="D763" s="2">
        <v>1</v>
      </c>
      <c r="E763" t="str">
        <f>"4574674200970424"</f>
        <v>4574674200970424</v>
      </c>
      <c r="F763" t="str">
        <f>"771"</f>
        <v>771</v>
      </c>
      <c r="G763">
        <v>1</v>
      </c>
      <c r="H763">
        <v>2023</v>
      </c>
      <c r="I763" t="s">
        <v>878</v>
      </c>
    </row>
    <row r="764" spans="1:9" x14ac:dyDescent="0.3">
      <c r="A764" t="s">
        <v>10169</v>
      </c>
      <c r="B764" t="s">
        <v>70</v>
      </c>
      <c r="C764">
        <v>8989697390</v>
      </c>
      <c r="D764" s="2">
        <v>1</v>
      </c>
      <c r="E764" t="str">
        <f>"4574674200444354"</f>
        <v>4574674200444354</v>
      </c>
      <c r="F764" t="str">
        <f>"352"</f>
        <v>352</v>
      </c>
      <c r="G764">
        <v>1</v>
      </c>
      <c r="H764">
        <v>2023</v>
      </c>
      <c r="I764" t="s">
        <v>879</v>
      </c>
    </row>
    <row r="765" spans="1:9" x14ac:dyDescent="0.3">
      <c r="A765" t="s">
        <v>10169</v>
      </c>
      <c r="B765" t="s">
        <v>70</v>
      </c>
      <c r="C765">
        <v>8989697390</v>
      </c>
      <c r="D765" s="2">
        <v>1</v>
      </c>
      <c r="E765" t="str">
        <f>"4574674200970234"</f>
        <v>4574674200970234</v>
      </c>
      <c r="F765" t="str">
        <f>"612"</f>
        <v>612</v>
      </c>
      <c r="G765">
        <v>1</v>
      </c>
      <c r="H765">
        <v>2023</v>
      </c>
      <c r="I765" t="s">
        <v>880</v>
      </c>
    </row>
    <row r="766" spans="1:9" x14ac:dyDescent="0.3">
      <c r="A766" t="s">
        <v>10169</v>
      </c>
      <c r="B766" t="s">
        <v>70</v>
      </c>
      <c r="C766">
        <v>8989697390</v>
      </c>
      <c r="D766" s="2">
        <v>1</v>
      </c>
      <c r="E766" t="str">
        <f>"4574674200444123"</f>
        <v>4574674200444123</v>
      </c>
      <c r="F766" t="str">
        <f>"533"</f>
        <v>533</v>
      </c>
      <c r="G766">
        <v>1</v>
      </c>
      <c r="H766">
        <v>2023</v>
      </c>
      <c r="I766" t="s">
        <v>881</v>
      </c>
    </row>
    <row r="767" spans="1:9" x14ac:dyDescent="0.3">
      <c r="A767" t="s">
        <v>10169</v>
      </c>
      <c r="B767" t="s">
        <v>70</v>
      </c>
      <c r="C767">
        <v>8989697390</v>
      </c>
      <c r="D767" s="2">
        <v>1</v>
      </c>
      <c r="E767" t="str">
        <f>"4574674200970499"</f>
        <v>4574674200970499</v>
      </c>
      <c r="F767" t="str">
        <f>"058"</f>
        <v>058</v>
      </c>
      <c r="G767">
        <v>1</v>
      </c>
      <c r="H767">
        <v>2023</v>
      </c>
      <c r="I767" t="s">
        <v>882</v>
      </c>
    </row>
    <row r="768" spans="1:9" x14ac:dyDescent="0.3">
      <c r="A768" t="s">
        <v>10169</v>
      </c>
      <c r="B768" t="s">
        <v>70</v>
      </c>
      <c r="C768">
        <v>8989697390</v>
      </c>
      <c r="D768" s="2">
        <v>1</v>
      </c>
      <c r="E768" t="str">
        <f>"4574674200444156"</f>
        <v>4574674200444156</v>
      </c>
      <c r="F768" t="str">
        <f>"100"</f>
        <v>100</v>
      </c>
      <c r="G768">
        <v>1</v>
      </c>
      <c r="H768">
        <v>2023</v>
      </c>
      <c r="I768" t="s">
        <v>883</v>
      </c>
    </row>
    <row r="769" spans="1:9" x14ac:dyDescent="0.3">
      <c r="A769" t="s">
        <v>10169</v>
      </c>
      <c r="B769" t="s">
        <v>70</v>
      </c>
      <c r="C769">
        <v>8989697390</v>
      </c>
      <c r="D769" s="2">
        <v>1</v>
      </c>
      <c r="E769" t="str">
        <f>"4574674200970507"</f>
        <v>4574674200970507</v>
      </c>
      <c r="F769" t="str">
        <f>"567"</f>
        <v>567</v>
      </c>
      <c r="G769">
        <v>1</v>
      </c>
      <c r="H769">
        <v>2023</v>
      </c>
      <c r="I769" t="s">
        <v>884</v>
      </c>
    </row>
    <row r="770" spans="1:9" x14ac:dyDescent="0.3">
      <c r="A770" t="s">
        <v>10169</v>
      </c>
      <c r="B770" t="s">
        <v>70</v>
      </c>
      <c r="C770">
        <v>8989697390</v>
      </c>
      <c r="D770" s="2">
        <v>1</v>
      </c>
      <c r="E770" t="str">
        <f>"4574674200444172"</f>
        <v>4574674200444172</v>
      </c>
      <c r="F770" t="str">
        <f>"283"</f>
        <v>283</v>
      </c>
      <c r="G770">
        <v>1</v>
      </c>
      <c r="H770">
        <v>2023</v>
      </c>
      <c r="I770" t="s">
        <v>885</v>
      </c>
    </row>
    <row r="771" spans="1:9" x14ac:dyDescent="0.3">
      <c r="A771" t="s">
        <v>10169</v>
      </c>
      <c r="B771" t="s">
        <v>70</v>
      </c>
      <c r="C771">
        <v>8989697390</v>
      </c>
      <c r="D771" s="2">
        <v>1</v>
      </c>
      <c r="E771" t="str">
        <f>"4574674200970556"</f>
        <v>4574674200970556</v>
      </c>
      <c r="F771" t="str">
        <f>"277"</f>
        <v>277</v>
      </c>
      <c r="G771">
        <v>1</v>
      </c>
      <c r="H771">
        <v>2023</v>
      </c>
      <c r="I771" t="s">
        <v>886</v>
      </c>
    </row>
    <row r="772" spans="1:9" x14ac:dyDescent="0.3">
      <c r="A772" t="s">
        <v>10128</v>
      </c>
      <c r="B772" t="s">
        <v>71</v>
      </c>
      <c r="C772">
        <v>8989697390</v>
      </c>
      <c r="D772" s="2">
        <v>1</v>
      </c>
      <c r="E772" t="str">
        <f>"4574674200970564"</f>
        <v>4574674200970564</v>
      </c>
      <c r="F772" t="str">
        <f>"370"</f>
        <v>370</v>
      </c>
      <c r="G772">
        <v>1</v>
      </c>
      <c r="H772">
        <v>2023</v>
      </c>
      <c r="I772" t="s">
        <v>887</v>
      </c>
    </row>
    <row r="773" spans="1:9" x14ac:dyDescent="0.3">
      <c r="A773" t="s">
        <v>10128</v>
      </c>
      <c r="B773" t="s">
        <v>71</v>
      </c>
      <c r="C773">
        <v>8989697390</v>
      </c>
      <c r="D773" s="2">
        <v>1</v>
      </c>
      <c r="E773" t="str">
        <f>"4574674200444461"</f>
        <v>4574674200444461</v>
      </c>
      <c r="F773" t="str">
        <f>"916"</f>
        <v>916</v>
      </c>
      <c r="G773">
        <v>1</v>
      </c>
      <c r="H773">
        <v>2023</v>
      </c>
      <c r="I773" t="s">
        <v>888</v>
      </c>
    </row>
    <row r="774" spans="1:9" x14ac:dyDescent="0.3">
      <c r="A774" t="s">
        <v>10128</v>
      </c>
      <c r="B774" t="s">
        <v>71</v>
      </c>
      <c r="C774">
        <v>8989697390</v>
      </c>
      <c r="D774" s="2">
        <v>1</v>
      </c>
      <c r="E774" t="str">
        <f>"4574674200970242"</f>
        <v>4574674200970242</v>
      </c>
      <c r="F774" t="str">
        <f>"113"</f>
        <v>113</v>
      </c>
      <c r="G774">
        <v>1</v>
      </c>
      <c r="H774">
        <v>2023</v>
      </c>
      <c r="I774" t="s">
        <v>889</v>
      </c>
    </row>
    <row r="775" spans="1:9" x14ac:dyDescent="0.3">
      <c r="A775" t="s">
        <v>10128</v>
      </c>
      <c r="B775" t="s">
        <v>71</v>
      </c>
      <c r="C775">
        <v>8989697390</v>
      </c>
      <c r="D775" s="2">
        <v>1</v>
      </c>
      <c r="E775" t="str">
        <f>"4574674200970598"</f>
        <v>4574674200970598</v>
      </c>
      <c r="F775" t="str">
        <f>"936"</f>
        <v>936</v>
      </c>
      <c r="G775">
        <v>1</v>
      </c>
      <c r="H775">
        <v>2023</v>
      </c>
      <c r="I775" t="s">
        <v>890</v>
      </c>
    </row>
    <row r="776" spans="1:9" x14ac:dyDescent="0.3">
      <c r="A776" t="s">
        <v>10128</v>
      </c>
      <c r="B776" t="s">
        <v>71</v>
      </c>
      <c r="C776">
        <v>8989697390</v>
      </c>
      <c r="D776" s="2">
        <v>1</v>
      </c>
      <c r="E776" t="str">
        <f>"4574674200444495"</f>
        <v>4574674200444495</v>
      </c>
      <c r="F776" t="str">
        <f>"507"</f>
        <v>507</v>
      </c>
      <c r="G776">
        <v>1</v>
      </c>
      <c r="H776">
        <v>2023</v>
      </c>
      <c r="I776" t="s">
        <v>891</v>
      </c>
    </row>
    <row r="777" spans="1:9" x14ac:dyDescent="0.3">
      <c r="A777" t="s">
        <v>10128</v>
      </c>
      <c r="B777" t="s">
        <v>71</v>
      </c>
      <c r="C777">
        <v>8989697390</v>
      </c>
      <c r="D777" s="2">
        <v>1</v>
      </c>
      <c r="E777" t="str">
        <f>"4574674200970663"</f>
        <v>4574674200970663</v>
      </c>
      <c r="F777" t="str">
        <f>"430"</f>
        <v>430</v>
      </c>
      <c r="G777">
        <v>1</v>
      </c>
      <c r="H777">
        <v>2023</v>
      </c>
      <c r="I777" t="s">
        <v>892</v>
      </c>
    </row>
    <row r="778" spans="1:9" x14ac:dyDescent="0.3">
      <c r="A778" t="s">
        <v>10128</v>
      </c>
      <c r="B778" t="s">
        <v>71</v>
      </c>
      <c r="C778">
        <v>8989697390</v>
      </c>
      <c r="D778" s="2">
        <v>1</v>
      </c>
      <c r="E778" t="str">
        <f>"4574674200970697"</f>
        <v>4574674200970697</v>
      </c>
      <c r="F778" t="str">
        <f>"951"</f>
        <v>951</v>
      </c>
      <c r="G778">
        <v>1</v>
      </c>
      <c r="H778">
        <v>2023</v>
      </c>
      <c r="I778" t="s">
        <v>893</v>
      </c>
    </row>
    <row r="779" spans="1:9" x14ac:dyDescent="0.3">
      <c r="A779" t="s">
        <v>10128</v>
      </c>
      <c r="B779" t="s">
        <v>71</v>
      </c>
      <c r="C779">
        <v>8989697390</v>
      </c>
      <c r="D779" s="2">
        <v>1</v>
      </c>
      <c r="E779" t="str">
        <f>"4574674200970705"</f>
        <v>4574674200970705</v>
      </c>
      <c r="F779" t="str">
        <f>"761"</f>
        <v>761</v>
      </c>
      <c r="G779">
        <v>1</v>
      </c>
      <c r="H779">
        <v>2023</v>
      </c>
      <c r="I779" t="s">
        <v>894</v>
      </c>
    </row>
    <row r="780" spans="1:9" x14ac:dyDescent="0.3">
      <c r="A780" t="s">
        <v>10128</v>
      </c>
      <c r="B780" t="s">
        <v>71</v>
      </c>
      <c r="C780">
        <v>8989697390</v>
      </c>
      <c r="D780" s="2">
        <v>1</v>
      </c>
      <c r="E780" t="str">
        <f>"4574674200444503"</f>
        <v>4574674200444503</v>
      </c>
      <c r="F780" t="str">
        <f>"654"</f>
        <v>654</v>
      </c>
      <c r="G780">
        <v>1</v>
      </c>
      <c r="H780">
        <v>2023</v>
      </c>
      <c r="I780" t="s">
        <v>895</v>
      </c>
    </row>
    <row r="781" spans="1:9" x14ac:dyDescent="0.3">
      <c r="A781" t="s">
        <v>10128</v>
      </c>
      <c r="B781" t="s">
        <v>71</v>
      </c>
      <c r="C781">
        <v>8989697390</v>
      </c>
      <c r="D781" s="2">
        <v>1</v>
      </c>
      <c r="E781" t="str">
        <f>"4574674200970713"</f>
        <v>4574674200970713</v>
      </c>
      <c r="F781" t="str">
        <f>"087"</f>
        <v>087</v>
      </c>
      <c r="G781">
        <v>1</v>
      </c>
      <c r="H781">
        <v>2023</v>
      </c>
      <c r="I781" t="s">
        <v>896</v>
      </c>
    </row>
    <row r="782" spans="1:9" x14ac:dyDescent="0.3">
      <c r="A782" t="s">
        <v>10129</v>
      </c>
      <c r="B782" t="s">
        <v>72</v>
      </c>
      <c r="C782">
        <v>8989697390</v>
      </c>
      <c r="D782" s="2">
        <v>1</v>
      </c>
      <c r="E782" t="str">
        <f>"4574674200970770"</f>
        <v>4574674200970770</v>
      </c>
      <c r="F782" t="str">
        <f>"024"</f>
        <v>024</v>
      </c>
      <c r="G782">
        <v>1</v>
      </c>
      <c r="H782">
        <v>2023</v>
      </c>
      <c r="I782" t="s">
        <v>897</v>
      </c>
    </row>
    <row r="783" spans="1:9" x14ac:dyDescent="0.3">
      <c r="A783" t="s">
        <v>10129</v>
      </c>
      <c r="B783" t="s">
        <v>72</v>
      </c>
      <c r="C783">
        <v>8989697390</v>
      </c>
      <c r="D783" s="2">
        <v>1</v>
      </c>
      <c r="E783" t="str">
        <f>"4574674200970259"</f>
        <v>4574674200970259</v>
      </c>
      <c r="F783" t="str">
        <f>"633"</f>
        <v>633</v>
      </c>
      <c r="G783">
        <v>1</v>
      </c>
      <c r="H783">
        <v>2023</v>
      </c>
      <c r="I783" t="s">
        <v>898</v>
      </c>
    </row>
    <row r="784" spans="1:9" x14ac:dyDescent="0.3">
      <c r="A784" t="s">
        <v>10129</v>
      </c>
      <c r="B784" t="s">
        <v>72</v>
      </c>
      <c r="C784">
        <v>8989697390</v>
      </c>
      <c r="D784" s="2">
        <v>1</v>
      </c>
      <c r="E784" t="str">
        <f>"4574674200970846"</f>
        <v>4574674200970846</v>
      </c>
      <c r="F784" t="str">
        <f>"359"</f>
        <v>359</v>
      </c>
      <c r="G784">
        <v>1</v>
      </c>
      <c r="H784">
        <v>2023</v>
      </c>
      <c r="I784" t="s">
        <v>899</v>
      </c>
    </row>
    <row r="785" spans="1:9" x14ac:dyDescent="0.3">
      <c r="A785" t="s">
        <v>10129</v>
      </c>
      <c r="B785" t="s">
        <v>72</v>
      </c>
      <c r="C785">
        <v>8989697390</v>
      </c>
      <c r="D785" s="2">
        <v>1</v>
      </c>
      <c r="E785" t="str">
        <f>"4574674200970853"</f>
        <v>4574674200970853</v>
      </c>
      <c r="F785" t="str">
        <f>"735"</f>
        <v>735</v>
      </c>
      <c r="G785">
        <v>1</v>
      </c>
      <c r="H785">
        <v>2023</v>
      </c>
      <c r="I785" t="s">
        <v>900</v>
      </c>
    </row>
    <row r="786" spans="1:9" x14ac:dyDescent="0.3">
      <c r="A786" t="s">
        <v>10129</v>
      </c>
      <c r="B786" t="s">
        <v>72</v>
      </c>
      <c r="C786">
        <v>8989697390</v>
      </c>
      <c r="D786" s="2">
        <v>1</v>
      </c>
      <c r="E786" t="str">
        <f>"4574674200970861"</f>
        <v>4574674200970861</v>
      </c>
      <c r="F786" t="str">
        <f>"214"</f>
        <v>214</v>
      </c>
      <c r="G786">
        <v>1</v>
      </c>
      <c r="H786">
        <v>2023</v>
      </c>
      <c r="I786" t="s">
        <v>901</v>
      </c>
    </row>
    <row r="787" spans="1:9" x14ac:dyDescent="0.3">
      <c r="A787" t="s">
        <v>10129</v>
      </c>
      <c r="B787" t="s">
        <v>72</v>
      </c>
      <c r="C787">
        <v>8989697390</v>
      </c>
      <c r="D787" s="2">
        <v>1</v>
      </c>
      <c r="E787" t="str">
        <f>"4574674200444529"</f>
        <v>4574674200444529</v>
      </c>
      <c r="F787" t="str">
        <f>"201"</f>
        <v>201</v>
      </c>
      <c r="G787">
        <v>1</v>
      </c>
      <c r="H787">
        <v>2023</v>
      </c>
      <c r="I787" t="s">
        <v>902</v>
      </c>
    </row>
    <row r="788" spans="1:9" x14ac:dyDescent="0.3">
      <c r="A788" t="s">
        <v>10129</v>
      </c>
      <c r="B788" t="s">
        <v>72</v>
      </c>
      <c r="C788">
        <v>8989697390</v>
      </c>
      <c r="D788" s="2">
        <v>1</v>
      </c>
      <c r="E788" t="str">
        <f>"4574674200970283"</f>
        <v>4574674200970283</v>
      </c>
      <c r="F788" t="str">
        <f>"430"</f>
        <v>430</v>
      </c>
      <c r="G788">
        <v>1</v>
      </c>
      <c r="H788">
        <v>2023</v>
      </c>
      <c r="I788" t="s">
        <v>903</v>
      </c>
    </row>
    <row r="789" spans="1:9" x14ac:dyDescent="0.3">
      <c r="A789" t="s">
        <v>10129</v>
      </c>
      <c r="B789" t="s">
        <v>72</v>
      </c>
      <c r="C789">
        <v>8989697390</v>
      </c>
      <c r="D789" s="2">
        <v>1</v>
      </c>
      <c r="E789" t="str">
        <f>"4574674200970911"</f>
        <v>4574674200970911</v>
      </c>
      <c r="F789" t="str">
        <f>"645"</f>
        <v>645</v>
      </c>
      <c r="G789">
        <v>1</v>
      </c>
      <c r="H789">
        <v>2023</v>
      </c>
      <c r="I789" t="s">
        <v>904</v>
      </c>
    </row>
    <row r="790" spans="1:9" x14ac:dyDescent="0.3">
      <c r="A790" t="s">
        <v>10129</v>
      </c>
      <c r="B790" t="s">
        <v>72</v>
      </c>
      <c r="C790">
        <v>8989697390</v>
      </c>
      <c r="D790" s="2">
        <v>1</v>
      </c>
      <c r="E790" t="str">
        <f>"4574674200970937"</f>
        <v>4574674200970937</v>
      </c>
      <c r="F790" t="str">
        <f>"778"</f>
        <v>778</v>
      </c>
      <c r="G790">
        <v>1</v>
      </c>
      <c r="H790">
        <v>2023</v>
      </c>
      <c r="I790" t="s">
        <v>905</v>
      </c>
    </row>
    <row r="791" spans="1:9" x14ac:dyDescent="0.3">
      <c r="A791" t="s">
        <v>10129</v>
      </c>
      <c r="B791" t="s">
        <v>72</v>
      </c>
      <c r="C791">
        <v>8989697390</v>
      </c>
      <c r="D791" s="2">
        <v>1</v>
      </c>
      <c r="E791" t="str">
        <f>"4574674200971018"</f>
        <v>4574674200971018</v>
      </c>
      <c r="F791" t="str">
        <f>"856"</f>
        <v>856</v>
      </c>
      <c r="G791">
        <v>1</v>
      </c>
      <c r="H791">
        <v>2023</v>
      </c>
      <c r="I791" t="s">
        <v>906</v>
      </c>
    </row>
    <row r="792" spans="1:9" x14ac:dyDescent="0.3">
      <c r="A792" t="s">
        <v>10170</v>
      </c>
      <c r="B792" t="s">
        <v>73</v>
      </c>
      <c r="C792">
        <v>8989697390</v>
      </c>
      <c r="D792" s="2">
        <v>1</v>
      </c>
      <c r="E792" t="str">
        <f>"4574674200971026"</f>
        <v>4574674200971026</v>
      </c>
      <c r="F792" t="str">
        <f>"564"</f>
        <v>564</v>
      </c>
      <c r="G792">
        <v>1</v>
      </c>
      <c r="H792">
        <v>2023</v>
      </c>
      <c r="I792" t="s">
        <v>907</v>
      </c>
    </row>
    <row r="793" spans="1:9" x14ac:dyDescent="0.3">
      <c r="A793" t="s">
        <v>10170</v>
      </c>
      <c r="B793" t="s">
        <v>73</v>
      </c>
      <c r="C793">
        <v>8989697390</v>
      </c>
      <c r="D793" s="2">
        <v>1</v>
      </c>
      <c r="E793" t="str">
        <f>"4574674200971034"</f>
        <v>4574674200971034</v>
      </c>
      <c r="F793" t="str">
        <f>"140"</f>
        <v>140</v>
      </c>
      <c r="G793">
        <v>1</v>
      </c>
      <c r="H793">
        <v>2023</v>
      </c>
      <c r="I793" t="s">
        <v>908</v>
      </c>
    </row>
    <row r="794" spans="1:9" x14ac:dyDescent="0.3">
      <c r="A794" t="s">
        <v>10170</v>
      </c>
      <c r="B794" t="s">
        <v>73</v>
      </c>
      <c r="C794">
        <v>8989697390</v>
      </c>
      <c r="D794" s="2">
        <v>1</v>
      </c>
      <c r="E794" t="str">
        <f>"4574674200971067"</f>
        <v>4574674200971067</v>
      </c>
      <c r="F794" t="str">
        <f>"135"</f>
        <v>135</v>
      </c>
      <c r="G794">
        <v>1</v>
      </c>
      <c r="H794">
        <v>2023</v>
      </c>
      <c r="I794" t="s">
        <v>909</v>
      </c>
    </row>
    <row r="795" spans="1:9" x14ac:dyDescent="0.3">
      <c r="A795" t="s">
        <v>10170</v>
      </c>
      <c r="B795" t="s">
        <v>73</v>
      </c>
      <c r="C795">
        <v>8989697390</v>
      </c>
      <c r="D795" s="2">
        <v>1</v>
      </c>
      <c r="E795" t="str">
        <f>"4574674200971117"</f>
        <v>4574674200971117</v>
      </c>
      <c r="F795" t="str">
        <f>"548"</f>
        <v>548</v>
      </c>
      <c r="G795">
        <v>1</v>
      </c>
      <c r="H795">
        <v>2023</v>
      </c>
      <c r="I795" t="s">
        <v>910</v>
      </c>
    </row>
    <row r="796" spans="1:9" x14ac:dyDescent="0.3">
      <c r="A796" t="s">
        <v>10170</v>
      </c>
      <c r="B796" t="s">
        <v>73</v>
      </c>
      <c r="C796">
        <v>8989697390</v>
      </c>
      <c r="D796" s="2">
        <v>1</v>
      </c>
      <c r="E796" t="str">
        <f>"4574674200970291"</f>
        <v>4574674200970291</v>
      </c>
      <c r="F796" t="str">
        <f>"421"</f>
        <v>421</v>
      </c>
      <c r="G796">
        <v>1</v>
      </c>
      <c r="H796">
        <v>2023</v>
      </c>
      <c r="I796" t="s">
        <v>911</v>
      </c>
    </row>
    <row r="797" spans="1:9" x14ac:dyDescent="0.3">
      <c r="A797" t="s">
        <v>10170</v>
      </c>
      <c r="B797" t="s">
        <v>73</v>
      </c>
      <c r="C797">
        <v>8989697390</v>
      </c>
      <c r="D797" s="2">
        <v>1</v>
      </c>
      <c r="E797" t="str">
        <f>"4574674200444644"</f>
        <v>4574674200444644</v>
      </c>
      <c r="F797" t="str">
        <f>"535"</f>
        <v>535</v>
      </c>
      <c r="G797">
        <v>1</v>
      </c>
      <c r="H797">
        <v>2023</v>
      </c>
      <c r="I797" t="s">
        <v>912</v>
      </c>
    </row>
    <row r="798" spans="1:9" x14ac:dyDescent="0.3">
      <c r="A798" t="s">
        <v>10170</v>
      </c>
      <c r="B798" t="s">
        <v>73</v>
      </c>
      <c r="C798">
        <v>8989697390</v>
      </c>
      <c r="D798" s="2">
        <v>1</v>
      </c>
      <c r="E798" t="str">
        <f>"4574674200971190"</f>
        <v>4574674200971190</v>
      </c>
      <c r="F798" t="str">
        <f>"556"</f>
        <v>556</v>
      </c>
      <c r="G798">
        <v>1</v>
      </c>
      <c r="H798">
        <v>2023</v>
      </c>
      <c r="I798" t="s">
        <v>913</v>
      </c>
    </row>
    <row r="799" spans="1:9" x14ac:dyDescent="0.3">
      <c r="A799" t="s">
        <v>10170</v>
      </c>
      <c r="B799" t="s">
        <v>73</v>
      </c>
      <c r="C799">
        <v>8989697390</v>
      </c>
      <c r="D799" s="2">
        <v>1</v>
      </c>
      <c r="E799" t="str">
        <f>"4574674200971174"</f>
        <v>4574674200971174</v>
      </c>
      <c r="F799" t="str">
        <f>"721"</f>
        <v>721</v>
      </c>
      <c r="G799">
        <v>1</v>
      </c>
      <c r="H799">
        <v>2023</v>
      </c>
      <c r="I799" t="s">
        <v>914</v>
      </c>
    </row>
    <row r="800" spans="1:9" x14ac:dyDescent="0.3">
      <c r="A800" t="s">
        <v>10170</v>
      </c>
      <c r="B800" t="s">
        <v>73</v>
      </c>
      <c r="C800">
        <v>8989697390</v>
      </c>
      <c r="D800" s="2">
        <v>1</v>
      </c>
      <c r="E800" t="str">
        <f>"4574674200971208"</f>
        <v>4574674200971208</v>
      </c>
      <c r="F800" t="str">
        <f>"050"</f>
        <v>050</v>
      </c>
      <c r="G800">
        <v>1</v>
      </c>
      <c r="H800">
        <v>2023</v>
      </c>
      <c r="I800" t="s">
        <v>915</v>
      </c>
    </row>
    <row r="801" spans="1:9" x14ac:dyDescent="0.3">
      <c r="A801" t="s">
        <v>10170</v>
      </c>
      <c r="B801" t="s">
        <v>73</v>
      </c>
      <c r="C801">
        <v>8989697390</v>
      </c>
      <c r="D801" s="2">
        <v>1</v>
      </c>
      <c r="E801" t="str">
        <f>"4574674200444834"</f>
        <v>4574674200444834</v>
      </c>
      <c r="F801" t="str">
        <f>"499"</f>
        <v>499</v>
      </c>
      <c r="G801">
        <v>1</v>
      </c>
      <c r="H801">
        <v>2023</v>
      </c>
      <c r="I801" t="s">
        <v>916</v>
      </c>
    </row>
    <row r="802" spans="1:9" x14ac:dyDescent="0.3">
      <c r="A802" t="s">
        <v>10171</v>
      </c>
      <c r="B802" t="s">
        <v>74</v>
      </c>
      <c r="C802">
        <v>8989697390</v>
      </c>
      <c r="D802" s="2">
        <v>1</v>
      </c>
      <c r="E802" t="str">
        <f>"4574674200971240"</f>
        <v>4574674200971240</v>
      </c>
      <c r="F802" t="str">
        <f>"034"</f>
        <v>034</v>
      </c>
      <c r="G802">
        <v>1</v>
      </c>
      <c r="H802">
        <v>2023</v>
      </c>
      <c r="I802" t="s">
        <v>917</v>
      </c>
    </row>
    <row r="803" spans="1:9" x14ac:dyDescent="0.3">
      <c r="A803" t="s">
        <v>10171</v>
      </c>
      <c r="B803" t="s">
        <v>74</v>
      </c>
      <c r="C803">
        <v>8989697390</v>
      </c>
      <c r="D803" s="2">
        <v>1</v>
      </c>
      <c r="E803" t="str">
        <f>"4574674200971323"</f>
        <v>4574674200971323</v>
      </c>
      <c r="F803" t="str">
        <f>"261"</f>
        <v>261</v>
      </c>
      <c r="G803">
        <v>1</v>
      </c>
      <c r="H803">
        <v>2023</v>
      </c>
      <c r="I803" t="s">
        <v>918</v>
      </c>
    </row>
    <row r="804" spans="1:9" x14ac:dyDescent="0.3">
      <c r="A804" t="s">
        <v>10171</v>
      </c>
      <c r="B804" t="s">
        <v>74</v>
      </c>
      <c r="C804">
        <v>8989697390</v>
      </c>
      <c r="D804" s="2">
        <v>1</v>
      </c>
      <c r="E804" t="str">
        <f>"4574674200444875"</f>
        <v>4574674200444875</v>
      </c>
      <c r="F804" t="str">
        <f>"332"</f>
        <v>332</v>
      </c>
      <c r="G804">
        <v>1</v>
      </c>
      <c r="H804">
        <v>2023</v>
      </c>
      <c r="I804" t="s">
        <v>919</v>
      </c>
    </row>
    <row r="805" spans="1:9" x14ac:dyDescent="0.3">
      <c r="A805" t="s">
        <v>10171</v>
      </c>
      <c r="B805" t="s">
        <v>74</v>
      </c>
      <c r="C805">
        <v>8989697390</v>
      </c>
      <c r="D805" s="2">
        <v>1</v>
      </c>
      <c r="E805" t="str">
        <f>"4574674200971273"</f>
        <v>4574674200971273</v>
      </c>
      <c r="F805" t="str">
        <f>"405"</f>
        <v>405</v>
      </c>
      <c r="G805">
        <v>1</v>
      </c>
      <c r="H805">
        <v>2023</v>
      </c>
      <c r="I805" t="s">
        <v>920</v>
      </c>
    </row>
    <row r="806" spans="1:9" x14ac:dyDescent="0.3">
      <c r="A806" t="s">
        <v>10171</v>
      </c>
      <c r="B806" t="s">
        <v>74</v>
      </c>
      <c r="C806">
        <v>8989697390</v>
      </c>
      <c r="D806" s="2">
        <v>1</v>
      </c>
      <c r="E806" t="str">
        <f>"4574674200444842"</f>
        <v>4574674200444842</v>
      </c>
      <c r="F806" t="str">
        <f>"383"</f>
        <v>383</v>
      </c>
      <c r="G806">
        <v>1</v>
      </c>
      <c r="H806">
        <v>2023</v>
      </c>
      <c r="I806" t="s">
        <v>921</v>
      </c>
    </row>
    <row r="807" spans="1:9" x14ac:dyDescent="0.3">
      <c r="A807" t="s">
        <v>10171</v>
      </c>
      <c r="B807" t="s">
        <v>74</v>
      </c>
      <c r="C807">
        <v>8989697390</v>
      </c>
      <c r="D807" s="2">
        <v>1</v>
      </c>
      <c r="E807" t="str">
        <f>"4574674200971331"</f>
        <v>4574674200971331</v>
      </c>
      <c r="F807" t="str">
        <f>"826"</f>
        <v>826</v>
      </c>
      <c r="G807">
        <v>1</v>
      </c>
      <c r="H807">
        <v>2023</v>
      </c>
      <c r="I807" t="s">
        <v>922</v>
      </c>
    </row>
    <row r="808" spans="1:9" x14ac:dyDescent="0.3">
      <c r="A808" t="s">
        <v>10171</v>
      </c>
      <c r="B808" t="s">
        <v>74</v>
      </c>
      <c r="C808">
        <v>8989697390</v>
      </c>
      <c r="D808" s="2">
        <v>1</v>
      </c>
      <c r="E808" t="str">
        <f>"4574674200444883"</f>
        <v>4574674200444883</v>
      </c>
      <c r="F808" t="str">
        <f>"397"</f>
        <v>397</v>
      </c>
      <c r="G808">
        <v>1</v>
      </c>
      <c r="H808">
        <v>2023</v>
      </c>
      <c r="I808" t="s">
        <v>923</v>
      </c>
    </row>
    <row r="809" spans="1:9" x14ac:dyDescent="0.3">
      <c r="A809" t="s">
        <v>10171</v>
      </c>
      <c r="B809" t="s">
        <v>74</v>
      </c>
      <c r="C809">
        <v>8989697390</v>
      </c>
      <c r="D809" s="2">
        <v>1</v>
      </c>
      <c r="E809" t="str">
        <f>"4574674200971364"</f>
        <v>4574674200971364</v>
      </c>
      <c r="F809" t="str">
        <f>"709"</f>
        <v>709</v>
      </c>
      <c r="G809">
        <v>1</v>
      </c>
      <c r="H809">
        <v>2023</v>
      </c>
      <c r="I809" t="s">
        <v>924</v>
      </c>
    </row>
    <row r="810" spans="1:9" x14ac:dyDescent="0.3">
      <c r="A810" t="s">
        <v>10171</v>
      </c>
      <c r="B810" t="s">
        <v>74</v>
      </c>
      <c r="C810">
        <v>8989697390</v>
      </c>
      <c r="D810" s="2">
        <v>1</v>
      </c>
      <c r="E810" t="str">
        <f>"4574674200444669"</f>
        <v>4574674200444669</v>
      </c>
      <c r="F810" t="str">
        <f>"140"</f>
        <v>140</v>
      </c>
      <c r="G810">
        <v>1</v>
      </c>
      <c r="H810">
        <v>2023</v>
      </c>
      <c r="I810" t="s">
        <v>925</v>
      </c>
    </row>
    <row r="811" spans="1:9" x14ac:dyDescent="0.3">
      <c r="A811" t="s">
        <v>10171</v>
      </c>
      <c r="B811" t="s">
        <v>74</v>
      </c>
      <c r="C811">
        <v>8989697390</v>
      </c>
      <c r="D811" s="2">
        <v>1</v>
      </c>
      <c r="E811" t="str">
        <f>"4574674200444701"</f>
        <v>4574674200444701</v>
      </c>
      <c r="F811" t="str">
        <f>"894"</f>
        <v>894</v>
      </c>
      <c r="G811">
        <v>1</v>
      </c>
      <c r="H811">
        <v>2023</v>
      </c>
      <c r="I811" t="s">
        <v>926</v>
      </c>
    </row>
    <row r="812" spans="1:9" x14ac:dyDescent="0.3">
      <c r="A812" t="s">
        <v>10172</v>
      </c>
      <c r="B812" t="s">
        <v>75</v>
      </c>
      <c r="C812">
        <v>8989697390</v>
      </c>
      <c r="D812" s="2">
        <v>1</v>
      </c>
      <c r="E812" t="str">
        <f>"4574674200444990"</f>
        <v>4574674200444990</v>
      </c>
      <c r="F812" t="str">
        <f>"039"</f>
        <v>039</v>
      </c>
      <c r="G812">
        <v>1</v>
      </c>
      <c r="H812">
        <v>2023</v>
      </c>
      <c r="I812" t="s">
        <v>927</v>
      </c>
    </row>
    <row r="813" spans="1:9" x14ac:dyDescent="0.3">
      <c r="A813" t="s">
        <v>10172</v>
      </c>
      <c r="B813" t="s">
        <v>75</v>
      </c>
      <c r="C813">
        <v>8989697390</v>
      </c>
      <c r="D813" s="2">
        <v>1</v>
      </c>
      <c r="E813" t="str">
        <f>"4574674200971406"</f>
        <v>4574674200971406</v>
      </c>
      <c r="F813" t="str">
        <f>"664"</f>
        <v>664</v>
      </c>
      <c r="G813">
        <v>1</v>
      </c>
      <c r="H813">
        <v>2023</v>
      </c>
      <c r="I813" t="s">
        <v>928</v>
      </c>
    </row>
    <row r="814" spans="1:9" x14ac:dyDescent="0.3">
      <c r="A814" t="s">
        <v>10172</v>
      </c>
      <c r="B814" t="s">
        <v>75</v>
      </c>
      <c r="C814">
        <v>8989697390</v>
      </c>
      <c r="D814" s="2">
        <v>1</v>
      </c>
      <c r="E814" t="str">
        <f>"4574674200444974"</f>
        <v>4574674200444974</v>
      </c>
      <c r="F814" t="str">
        <f>"044"</f>
        <v>044</v>
      </c>
      <c r="G814">
        <v>1</v>
      </c>
      <c r="H814">
        <v>2023</v>
      </c>
      <c r="I814" t="s">
        <v>929</v>
      </c>
    </row>
    <row r="815" spans="1:9" x14ac:dyDescent="0.3">
      <c r="A815" t="s">
        <v>10172</v>
      </c>
      <c r="B815" t="s">
        <v>75</v>
      </c>
      <c r="C815">
        <v>8989697390</v>
      </c>
      <c r="D815" s="2">
        <v>1</v>
      </c>
      <c r="E815" t="str">
        <f>"4574674200971455"</f>
        <v>4574674200971455</v>
      </c>
      <c r="F815" t="str">
        <f>"180"</f>
        <v>180</v>
      </c>
      <c r="G815">
        <v>1</v>
      </c>
      <c r="H815">
        <v>2023</v>
      </c>
      <c r="I815" t="s">
        <v>930</v>
      </c>
    </row>
    <row r="816" spans="1:9" x14ac:dyDescent="0.3">
      <c r="A816" t="s">
        <v>10172</v>
      </c>
      <c r="B816" t="s">
        <v>75</v>
      </c>
      <c r="C816">
        <v>8989697390</v>
      </c>
      <c r="D816" s="2">
        <v>1</v>
      </c>
      <c r="E816" t="str">
        <f>"4574674200444727"</f>
        <v>4574674200444727</v>
      </c>
      <c r="F816" t="str">
        <f>"718"</f>
        <v>718</v>
      </c>
      <c r="G816">
        <v>1</v>
      </c>
      <c r="H816">
        <v>2023</v>
      </c>
      <c r="I816" t="s">
        <v>931</v>
      </c>
    </row>
    <row r="817" spans="1:9" x14ac:dyDescent="0.3">
      <c r="A817" t="s">
        <v>10172</v>
      </c>
      <c r="B817" t="s">
        <v>75</v>
      </c>
      <c r="C817">
        <v>8989697390</v>
      </c>
      <c r="D817" s="2">
        <v>1</v>
      </c>
      <c r="E817" t="str">
        <f>"4574674200445039"</f>
        <v>4574674200445039</v>
      </c>
      <c r="F817" t="str">
        <f>"772"</f>
        <v>772</v>
      </c>
      <c r="G817">
        <v>1</v>
      </c>
      <c r="H817">
        <v>2023</v>
      </c>
      <c r="I817" t="s">
        <v>932</v>
      </c>
    </row>
    <row r="818" spans="1:9" x14ac:dyDescent="0.3">
      <c r="A818" t="s">
        <v>10172</v>
      </c>
      <c r="B818" t="s">
        <v>75</v>
      </c>
      <c r="C818">
        <v>8989697390</v>
      </c>
      <c r="D818" s="2">
        <v>1</v>
      </c>
      <c r="E818" t="str">
        <f>"4574674200445047"</f>
        <v>4574674200445047</v>
      </c>
      <c r="F818" t="str">
        <f>"107"</f>
        <v>107</v>
      </c>
      <c r="G818">
        <v>1</v>
      </c>
      <c r="H818">
        <v>2023</v>
      </c>
      <c r="I818" t="s">
        <v>933</v>
      </c>
    </row>
    <row r="819" spans="1:9" x14ac:dyDescent="0.3">
      <c r="A819" t="s">
        <v>10172</v>
      </c>
      <c r="B819" t="s">
        <v>75</v>
      </c>
      <c r="C819">
        <v>8989697390</v>
      </c>
      <c r="D819" s="2">
        <v>1</v>
      </c>
      <c r="E819" t="str">
        <f>"4574674200445120"</f>
        <v>4574674200445120</v>
      </c>
      <c r="F819" t="str">
        <f>"532"</f>
        <v>532</v>
      </c>
      <c r="G819">
        <v>1</v>
      </c>
      <c r="H819">
        <v>2023</v>
      </c>
      <c r="I819" t="s">
        <v>934</v>
      </c>
    </row>
    <row r="820" spans="1:9" x14ac:dyDescent="0.3">
      <c r="A820" t="s">
        <v>10172</v>
      </c>
      <c r="B820" t="s">
        <v>75</v>
      </c>
      <c r="C820">
        <v>8989697390</v>
      </c>
      <c r="D820" s="2">
        <v>1</v>
      </c>
      <c r="E820" t="str">
        <f>"4574674200971463"</f>
        <v>4574674200971463</v>
      </c>
      <c r="F820" t="str">
        <f>"397"</f>
        <v>397</v>
      </c>
      <c r="G820">
        <v>1</v>
      </c>
      <c r="H820">
        <v>2023</v>
      </c>
      <c r="I820" t="s">
        <v>935</v>
      </c>
    </row>
    <row r="821" spans="1:9" x14ac:dyDescent="0.3">
      <c r="A821" t="s">
        <v>10172</v>
      </c>
      <c r="B821" t="s">
        <v>75</v>
      </c>
      <c r="C821">
        <v>8989697390</v>
      </c>
      <c r="D821" s="2">
        <v>1</v>
      </c>
      <c r="E821" t="str">
        <f>"4574674200445179"</f>
        <v>4574674200445179</v>
      </c>
      <c r="F821" t="str">
        <f>"978"</f>
        <v>978</v>
      </c>
      <c r="G821">
        <v>1</v>
      </c>
      <c r="H821">
        <v>2023</v>
      </c>
      <c r="I821" t="s">
        <v>936</v>
      </c>
    </row>
    <row r="822" spans="1:9" x14ac:dyDescent="0.3">
      <c r="A822" t="s">
        <v>10173</v>
      </c>
      <c r="B822" t="s">
        <v>76</v>
      </c>
      <c r="C822">
        <v>8989697390</v>
      </c>
      <c r="D822" s="2">
        <v>1</v>
      </c>
      <c r="E822" t="str">
        <f>"4574674200444784"</f>
        <v>4574674200444784</v>
      </c>
      <c r="F822" t="str">
        <f>"673"</f>
        <v>673</v>
      </c>
      <c r="G822">
        <v>1</v>
      </c>
      <c r="H822">
        <v>2023</v>
      </c>
      <c r="I822" t="s">
        <v>937</v>
      </c>
    </row>
    <row r="823" spans="1:9" x14ac:dyDescent="0.3">
      <c r="A823" t="s">
        <v>10173</v>
      </c>
      <c r="B823" t="s">
        <v>76</v>
      </c>
      <c r="C823">
        <v>8989697390</v>
      </c>
      <c r="D823" s="2">
        <v>1</v>
      </c>
      <c r="E823" t="str">
        <f>"4574674200445211"</f>
        <v>4574674200445211</v>
      </c>
      <c r="F823" t="str">
        <f>"441"</f>
        <v>441</v>
      </c>
      <c r="G823">
        <v>1</v>
      </c>
      <c r="H823">
        <v>2023</v>
      </c>
      <c r="I823" t="s">
        <v>938</v>
      </c>
    </row>
    <row r="824" spans="1:9" x14ac:dyDescent="0.3">
      <c r="A824" t="s">
        <v>10173</v>
      </c>
      <c r="B824" t="s">
        <v>76</v>
      </c>
      <c r="C824">
        <v>8989697390</v>
      </c>
      <c r="D824" s="2">
        <v>1</v>
      </c>
      <c r="E824" t="str">
        <f>"4574674200971471"</f>
        <v>4574674200971471</v>
      </c>
      <c r="F824" t="str">
        <f>"215"</f>
        <v>215</v>
      </c>
      <c r="G824">
        <v>1</v>
      </c>
      <c r="H824">
        <v>2023</v>
      </c>
      <c r="I824" t="s">
        <v>939</v>
      </c>
    </row>
    <row r="825" spans="1:9" x14ac:dyDescent="0.3">
      <c r="A825" t="s">
        <v>10173</v>
      </c>
      <c r="B825" t="s">
        <v>76</v>
      </c>
      <c r="C825">
        <v>8989697390</v>
      </c>
      <c r="D825" s="2">
        <v>1</v>
      </c>
      <c r="E825" t="str">
        <f>"4574674200445195"</f>
        <v>4574674200445195</v>
      </c>
      <c r="F825" t="str">
        <f>"458"</f>
        <v>458</v>
      </c>
      <c r="G825">
        <v>1</v>
      </c>
      <c r="H825">
        <v>2023</v>
      </c>
      <c r="I825" t="s">
        <v>940</v>
      </c>
    </row>
    <row r="826" spans="1:9" x14ac:dyDescent="0.3">
      <c r="A826" t="s">
        <v>10173</v>
      </c>
      <c r="B826" t="s">
        <v>76</v>
      </c>
      <c r="C826">
        <v>8989697390</v>
      </c>
      <c r="D826" s="2">
        <v>1</v>
      </c>
      <c r="E826" t="str">
        <f>"4574674200971497"</f>
        <v>4574674200971497</v>
      </c>
      <c r="F826" t="str">
        <f>"520"</f>
        <v>520</v>
      </c>
      <c r="G826">
        <v>1</v>
      </c>
      <c r="H826">
        <v>2023</v>
      </c>
      <c r="I826" t="s">
        <v>941</v>
      </c>
    </row>
    <row r="827" spans="1:9" x14ac:dyDescent="0.3">
      <c r="A827" t="s">
        <v>10173</v>
      </c>
      <c r="B827" t="s">
        <v>76</v>
      </c>
      <c r="C827">
        <v>8989697390</v>
      </c>
      <c r="D827" s="2">
        <v>1</v>
      </c>
      <c r="E827" t="str">
        <f>"4574674200445427"</f>
        <v>4574674200445427</v>
      </c>
      <c r="F827" t="str">
        <f>"199"</f>
        <v>199</v>
      </c>
      <c r="G827">
        <v>1</v>
      </c>
      <c r="H827">
        <v>2023</v>
      </c>
      <c r="I827" t="s">
        <v>942</v>
      </c>
    </row>
    <row r="828" spans="1:9" x14ac:dyDescent="0.3">
      <c r="A828" t="s">
        <v>10173</v>
      </c>
      <c r="B828" t="s">
        <v>76</v>
      </c>
      <c r="C828">
        <v>8989697390</v>
      </c>
      <c r="D828" s="2">
        <v>1</v>
      </c>
      <c r="E828" t="str">
        <f>"4574674200445443"</f>
        <v>4574674200445443</v>
      </c>
      <c r="F828" t="str">
        <f>"499"</f>
        <v>499</v>
      </c>
      <c r="G828">
        <v>1</v>
      </c>
      <c r="H828">
        <v>2023</v>
      </c>
      <c r="I828" t="s">
        <v>943</v>
      </c>
    </row>
    <row r="829" spans="1:9" x14ac:dyDescent="0.3">
      <c r="A829" t="s">
        <v>10173</v>
      </c>
      <c r="B829" t="s">
        <v>76</v>
      </c>
      <c r="C829">
        <v>8989697390</v>
      </c>
      <c r="D829" s="2">
        <v>1</v>
      </c>
      <c r="E829" t="str">
        <f>"4574674200971562"</f>
        <v>4574674200971562</v>
      </c>
      <c r="F829" t="str">
        <f>"658"</f>
        <v>658</v>
      </c>
      <c r="G829">
        <v>1</v>
      </c>
      <c r="H829">
        <v>2023</v>
      </c>
      <c r="I829" t="s">
        <v>944</v>
      </c>
    </row>
    <row r="830" spans="1:9" x14ac:dyDescent="0.3">
      <c r="A830" t="s">
        <v>10173</v>
      </c>
      <c r="B830" t="s">
        <v>76</v>
      </c>
      <c r="C830">
        <v>8989697390</v>
      </c>
      <c r="D830" s="2">
        <v>1</v>
      </c>
      <c r="E830" t="str">
        <f>"4574674200971620"</f>
        <v>4574674200971620</v>
      </c>
      <c r="F830" t="str">
        <f>"427"</f>
        <v>427</v>
      </c>
      <c r="G830">
        <v>1</v>
      </c>
      <c r="H830">
        <v>2023</v>
      </c>
      <c r="I830" t="s">
        <v>945</v>
      </c>
    </row>
    <row r="831" spans="1:9" x14ac:dyDescent="0.3">
      <c r="A831" t="s">
        <v>10173</v>
      </c>
      <c r="B831" t="s">
        <v>76</v>
      </c>
      <c r="C831">
        <v>8989697390</v>
      </c>
      <c r="D831" s="2">
        <v>1</v>
      </c>
      <c r="E831" t="str">
        <f>"4574674200445278"</f>
        <v>4574674200445278</v>
      </c>
      <c r="F831" t="str">
        <f>"006"</f>
        <v>006</v>
      </c>
      <c r="G831">
        <v>1</v>
      </c>
      <c r="H831">
        <v>2023</v>
      </c>
      <c r="I831" t="s">
        <v>946</v>
      </c>
    </row>
    <row r="832" spans="1:9" x14ac:dyDescent="0.3">
      <c r="A832" t="s">
        <v>10146</v>
      </c>
      <c r="B832" t="s">
        <v>61</v>
      </c>
      <c r="C832">
        <v>8989697390</v>
      </c>
      <c r="D832" s="2">
        <v>1</v>
      </c>
      <c r="E832" t="str">
        <f>"4574674200445260"</f>
        <v>4574674200445260</v>
      </c>
      <c r="F832" t="str">
        <f>"869"</f>
        <v>869</v>
      </c>
      <c r="G832">
        <v>1</v>
      </c>
      <c r="H832">
        <v>2023</v>
      </c>
      <c r="I832" t="s">
        <v>947</v>
      </c>
    </row>
    <row r="833" spans="1:9" x14ac:dyDescent="0.3">
      <c r="A833" t="s">
        <v>10146</v>
      </c>
      <c r="B833" t="s">
        <v>61</v>
      </c>
      <c r="C833">
        <v>8989697390</v>
      </c>
      <c r="D833" s="2">
        <v>1</v>
      </c>
      <c r="E833" t="str">
        <f>"4574674200445286"</f>
        <v>4574674200445286</v>
      </c>
      <c r="F833" t="str">
        <f>"209"</f>
        <v>209</v>
      </c>
      <c r="G833">
        <v>1</v>
      </c>
      <c r="H833">
        <v>2023</v>
      </c>
      <c r="I833" t="s">
        <v>948</v>
      </c>
    </row>
    <row r="834" spans="1:9" x14ac:dyDescent="0.3">
      <c r="A834" t="s">
        <v>10146</v>
      </c>
      <c r="B834" t="s">
        <v>61</v>
      </c>
      <c r="C834">
        <v>8989697390</v>
      </c>
      <c r="D834" s="2">
        <v>1</v>
      </c>
      <c r="E834" t="str">
        <f>"4574674200970366"</f>
        <v>4574674200970366</v>
      </c>
      <c r="F834" t="str">
        <f>"801"</f>
        <v>801</v>
      </c>
      <c r="G834">
        <v>1</v>
      </c>
      <c r="H834">
        <v>2023</v>
      </c>
      <c r="I834" t="s">
        <v>949</v>
      </c>
    </row>
    <row r="835" spans="1:9" x14ac:dyDescent="0.3">
      <c r="A835" t="s">
        <v>10146</v>
      </c>
      <c r="B835" t="s">
        <v>61</v>
      </c>
      <c r="C835">
        <v>8989697390</v>
      </c>
      <c r="D835" s="2">
        <v>1</v>
      </c>
      <c r="E835" t="str">
        <f>"4574674200445328"</f>
        <v>4574674200445328</v>
      </c>
      <c r="F835" t="str">
        <f>"441"</f>
        <v>441</v>
      </c>
      <c r="G835">
        <v>1</v>
      </c>
      <c r="H835">
        <v>2023</v>
      </c>
      <c r="I835" t="s">
        <v>950</v>
      </c>
    </row>
    <row r="836" spans="1:9" x14ac:dyDescent="0.3">
      <c r="A836" t="s">
        <v>10146</v>
      </c>
      <c r="B836" t="s">
        <v>61</v>
      </c>
      <c r="C836">
        <v>8989697390</v>
      </c>
      <c r="D836" s="2">
        <v>1</v>
      </c>
      <c r="E836" t="str">
        <f>"4574674200445534"</f>
        <v>4574674200445534</v>
      </c>
      <c r="F836" t="str">
        <f>"188"</f>
        <v>188</v>
      </c>
      <c r="G836">
        <v>1</v>
      </c>
      <c r="H836">
        <v>2023</v>
      </c>
      <c r="I836" t="s">
        <v>951</v>
      </c>
    </row>
    <row r="837" spans="1:9" x14ac:dyDescent="0.3">
      <c r="A837" t="s">
        <v>10146</v>
      </c>
      <c r="B837" t="s">
        <v>61</v>
      </c>
      <c r="C837">
        <v>8989697390</v>
      </c>
      <c r="D837" s="2">
        <v>1</v>
      </c>
      <c r="E837" t="str">
        <f>"4574674200445500"</f>
        <v>4574674200445500</v>
      </c>
      <c r="F837" t="str">
        <f>"873"</f>
        <v>873</v>
      </c>
      <c r="G837">
        <v>1</v>
      </c>
      <c r="H837">
        <v>2023</v>
      </c>
      <c r="I837" t="s">
        <v>952</v>
      </c>
    </row>
    <row r="838" spans="1:9" x14ac:dyDescent="0.3">
      <c r="A838" t="s">
        <v>10146</v>
      </c>
      <c r="B838" t="s">
        <v>61</v>
      </c>
      <c r="C838">
        <v>8989697390</v>
      </c>
      <c r="D838" s="2">
        <v>1</v>
      </c>
      <c r="E838" t="str">
        <f>"4574674200445740"</f>
        <v>4574674200445740</v>
      </c>
      <c r="F838" t="str">
        <f>"004"</f>
        <v>004</v>
      </c>
      <c r="G838">
        <v>1</v>
      </c>
      <c r="H838">
        <v>2023</v>
      </c>
      <c r="I838" t="s">
        <v>953</v>
      </c>
    </row>
    <row r="839" spans="1:9" x14ac:dyDescent="0.3">
      <c r="A839" t="s">
        <v>10146</v>
      </c>
      <c r="B839" t="s">
        <v>61</v>
      </c>
      <c r="C839">
        <v>8989697390</v>
      </c>
      <c r="D839" s="2">
        <v>1</v>
      </c>
      <c r="E839" t="str">
        <f>"4574674200445682"</f>
        <v>4574674200445682</v>
      </c>
      <c r="F839" t="str">
        <f>"536"</f>
        <v>536</v>
      </c>
      <c r="G839">
        <v>1</v>
      </c>
      <c r="H839">
        <v>2023</v>
      </c>
      <c r="I839" t="s">
        <v>954</v>
      </c>
    </row>
    <row r="840" spans="1:9" x14ac:dyDescent="0.3">
      <c r="A840" t="s">
        <v>10146</v>
      </c>
      <c r="B840" t="s">
        <v>61</v>
      </c>
      <c r="C840">
        <v>8989697390</v>
      </c>
      <c r="D840" s="2">
        <v>1</v>
      </c>
      <c r="E840" t="str">
        <f>"4574674200971646"</f>
        <v>4574674200971646</v>
      </c>
      <c r="F840" t="str">
        <f>"953"</f>
        <v>953</v>
      </c>
      <c r="G840">
        <v>1</v>
      </c>
      <c r="H840">
        <v>2023</v>
      </c>
      <c r="I840" t="s">
        <v>955</v>
      </c>
    </row>
    <row r="841" spans="1:9" x14ac:dyDescent="0.3">
      <c r="A841" t="s">
        <v>10146</v>
      </c>
      <c r="B841" t="s">
        <v>61</v>
      </c>
      <c r="C841">
        <v>8989697390</v>
      </c>
      <c r="D841" s="2">
        <v>1</v>
      </c>
      <c r="E841" t="str">
        <f>"4574674200445674"</f>
        <v>4574674200445674</v>
      </c>
      <c r="F841" t="str">
        <f>"189"</f>
        <v>189</v>
      </c>
      <c r="G841">
        <v>1</v>
      </c>
      <c r="H841">
        <v>2023</v>
      </c>
      <c r="I841" t="s">
        <v>956</v>
      </c>
    </row>
    <row r="842" spans="1:9" x14ac:dyDescent="0.3">
      <c r="A842" t="s">
        <v>10174</v>
      </c>
      <c r="B842" t="s">
        <v>77</v>
      </c>
      <c r="C842">
        <v>8989697390</v>
      </c>
      <c r="D842" s="2">
        <v>1</v>
      </c>
      <c r="E842" t="str">
        <f>"4574674200446003"</f>
        <v>4574674200446003</v>
      </c>
      <c r="F842" t="str">
        <f>"711"</f>
        <v>711</v>
      </c>
      <c r="G842">
        <v>1</v>
      </c>
      <c r="H842">
        <v>2023</v>
      </c>
      <c r="I842" t="s">
        <v>957</v>
      </c>
    </row>
    <row r="843" spans="1:9" x14ac:dyDescent="0.3">
      <c r="A843" t="s">
        <v>10174</v>
      </c>
      <c r="B843" t="s">
        <v>77</v>
      </c>
      <c r="C843">
        <v>8989697390</v>
      </c>
      <c r="D843" s="2">
        <v>1</v>
      </c>
      <c r="E843" t="str">
        <f>"4574674200446037"</f>
        <v>4574674200446037</v>
      </c>
      <c r="F843" t="str">
        <f>"839"</f>
        <v>839</v>
      </c>
      <c r="G843">
        <v>1</v>
      </c>
      <c r="H843">
        <v>2023</v>
      </c>
      <c r="I843" t="s">
        <v>958</v>
      </c>
    </row>
    <row r="844" spans="1:9" x14ac:dyDescent="0.3">
      <c r="A844" t="s">
        <v>10174</v>
      </c>
      <c r="B844" t="s">
        <v>77</v>
      </c>
      <c r="C844">
        <v>8989697390</v>
      </c>
      <c r="D844" s="2">
        <v>1</v>
      </c>
      <c r="E844" t="str">
        <f>"4574674200446102"</f>
        <v>4574674200446102</v>
      </c>
      <c r="F844" t="str">
        <f>"779"</f>
        <v>779</v>
      </c>
      <c r="G844">
        <v>1</v>
      </c>
      <c r="H844">
        <v>2023</v>
      </c>
      <c r="I844" t="s">
        <v>959</v>
      </c>
    </row>
    <row r="845" spans="1:9" x14ac:dyDescent="0.3">
      <c r="A845" t="s">
        <v>10174</v>
      </c>
      <c r="B845" t="s">
        <v>77</v>
      </c>
      <c r="C845">
        <v>8989697390</v>
      </c>
      <c r="D845" s="2">
        <v>1</v>
      </c>
      <c r="E845" t="str">
        <f>"4574674200446052"</f>
        <v>4574674200446052</v>
      </c>
      <c r="F845" t="str">
        <f>"044"</f>
        <v>044</v>
      </c>
      <c r="G845">
        <v>1</v>
      </c>
      <c r="H845">
        <v>2023</v>
      </c>
      <c r="I845" t="s">
        <v>960</v>
      </c>
    </row>
    <row r="846" spans="1:9" x14ac:dyDescent="0.3">
      <c r="A846" t="s">
        <v>10174</v>
      </c>
      <c r="B846" t="s">
        <v>77</v>
      </c>
      <c r="C846">
        <v>8989697390</v>
      </c>
      <c r="D846" s="2">
        <v>1</v>
      </c>
      <c r="E846" t="str">
        <f>"4574674200445864"</f>
        <v>4574674200445864</v>
      </c>
      <c r="F846" t="str">
        <f>"552"</f>
        <v>552</v>
      </c>
      <c r="G846">
        <v>1</v>
      </c>
      <c r="H846">
        <v>2023</v>
      </c>
      <c r="I846" t="s">
        <v>961</v>
      </c>
    </row>
    <row r="847" spans="1:9" x14ac:dyDescent="0.3">
      <c r="A847" t="s">
        <v>10174</v>
      </c>
      <c r="B847" t="s">
        <v>77</v>
      </c>
      <c r="C847">
        <v>8989697390</v>
      </c>
      <c r="D847" s="2">
        <v>1</v>
      </c>
      <c r="E847" t="str">
        <f>"4574674200445880"</f>
        <v>4574674200445880</v>
      </c>
      <c r="F847" t="str">
        <f>"599"</f>
        <v>599</v>
      </c>
      <c r="G847">
        <v>1</v>
      </c>
      <c r="H847">
        <v>2023</v>
      </c>
      <c r="I847" t="s">
        <v>962</v>
      </c>
    </row>
    <row r="848" spans="1:9" x14ac:dyDescent="0.3">
      <c r="A848" t="s">
        <v>10174</v>
      </c>
      <c r="B848" t="s">
        <v>77</v>
      </c>
      <c r="C848">
        <v>8989697390</v>
      </c>
      <c r="D848" s="2">
        <v>1</v>
      </c>
      <c r="E848" t="str">
        <f>"4574674200446151"</f>
        <v>4574674200446151</v>
      </c>
      <c r="F848" t="str">
        <f>"387"</f>
        <v>387</v>
      </c>
      <c r="G848">
        <v>1</v>
      </c>
      <c r="H848">
        <v>2023</v>
      </c>
      <c r="I848" t="s">
        <v>963</v>
      </c>
    </row>
    <row r="849" spans="1:9" x14ac:dyDescent="0.3">
      <c r="A849" t="s">
        <v>10174</v>
      </c>
      <c r="B849" t="s">
        <v>77</v>
      </c>
      <c r="C849">
        <v>8989697390</v>
      </c>
      <c r="D849" s="2">
        <v>1</v>
      </c>
      <c r="E849" t="str">
        <f>"4574674200446144"</f>
        <v>4574674200446144</v>
      </c>
      <c r="F849" t="str">
        <f>"922"</f>
        <v>922</v>
      </c>
      <c r="G849">
        <v>1</v>
      </c>
      <c r="H849">
        <v>2023</v>
      </c>
      <c r="I849" t="s">
        <v>964</v>
      </c>
    </row>
    <row r="850" spans="1:9" x14ac:dyDescent="0.3">
      <c r="A850" t="s">
        <v>10174</v>
      </c>
      <c r="B850" t="s">
        <v>77</v>
      </c>
      <c r="C850">
        <v>8989697390</v>
      </c>
      <c r="D850" s="2">
        <v>1</v>
      </c>
      <c r="E850" t="str">
        <f>"4574674200445948"</f>
        <v>4574674200445948</v>
      </c>
      <c r="F850" t="str">
        <f>"571"</f>
        <v>571</v>
      </c>
      <c r="G850">
        <v>1</v>
      </c>
      <c r="H850">
        <v>2023</v>
      </c>
      <c r="I850" t="s">
        <v>965</v>
      </c>
    </row>
    <row r="851" spans="1:9" x14ac:dyDescent="0.3">
      <c r="A851" t="s">
        <v>10174</v>
      </c>
      <c r="B851" t="s">
        <v>77</v>
      </c>
      <c r="C851">
        <v>8989697390</v>
      </c>
      <c r="D851" s="2">
        <v>1</v>
      </c>
      <c r="E851" t="str">
        <f>"4574674200446250"</f>
        <v>4574674200446250</v>
      </c>
      <c r="F851" t="str">
        <f>"308"</f>
        <v>308</v>
      </c>
      <c r="G851">
        <v>1</v>
      </c>
      <c r="H851">
        <v>2023</v>
      </c>
      <c r="I851" t="s">
        <v>966</v>
      </c>
    </row>
    <row r="852" spans="1:9" x14ac:dyDescent="0.3">
      <c r="A852" t="s">
        <v>10163</v>
      </c>
      <c r="B852" t="s">
        <v>57</v>
      </c>
      <c r="C852">
        <v>8989697390</v>
      </c>
      <c r="D852" s="2">
        <v>1</v>
      </c>
      <c r="E852" t="str">
        <f>"4574674200446235"</f>
        <v>4574674200446235</v>
      </c>
      <c r="F852" t="str">
        <f>"464"</f>
        <v>464</v>
      </c>
      <c r="G852">
        <v>1</v>
      </c>
      <c r="H852">
        <v>2023</v>
      </c>
      <c r="I852" t="s">
        <v>967</v>
      </c>
    </row>
    <row r="853" spans="1:9" x14ac:dyDescent="0.3">
      <c r="A853" t="s">
        <v>10163</v>
      </c>
      <c r="B853" t="s">
        <v>57</v>
      </c>
      <c r="C853">
        <v>8989697390</v>
      </c>
      <c r="D853" s="2">
        <v>1</v>
      </c>
      <c r="E853" t="str">
        <f>"4574674200446300"</f>
        <v>4574674200446300</v>
      </c>
      <c r="F853" t="str">
        <f>"481"</f>
        <v>481</v>
      </c>
      <c r="G853">
        <v>1</v>
      </c>
      <c r="H853">
        <v>2023</v>
      </c>
      <c r="I853" t="s">
        <v>968</v>
      </c>
    </row>
    <row r="854" spans="1:9" x14ac:dyDescent="0.3">
      <c r="A854" t="s">
        <v>10163</v>
      </c>
      <c r="B854" t="s">
        <v>57</v>
      </c>
      <c r="C854">
        <v>8989697390</v>
      </c>
      <c r="D854" s="2">
        <v>1</v>
      </c>
      <c r="E854" t="str">
        <f>"4574674200445997"</f>
        <v>4574674200445997</v>
      </c>
      <c r="F854" t="str">
        <f>"126"</f>
        <v>126</v>
      </c>
      <c r="G854">
        <v>1</v>
      </c>
      <c r="H854">
        <v>2023</v>
      </c>
      <c r="I854" t="s">
        <v>969</v>
      </c>
    </row>
    <row r="855" spans="1:9" x14ac:dyDescent="0.3">
      <c r="A855" t="s">
        <v>10163</v>
      </c>
      <c r="B855" t="s">
        <v>57</v>
      </c>
      <c r="C855">
        <v>8989697390</v>
      </c>
      <c r="D855" s="2">
        <v>1</v>
      </c>
      <c r="E855" t="str">
        <f>"4574674200445989"</f>
        <v>4574674200445989</v>
      </c>
      <c r="F855" t="str">
        <f>"373"</f>
        <v>373</v>
      </c>
      <c r="G855">
        <v>1</v>
      </c>
      <c r="H855">
        <v>2023</v>
      </c>
      <c r="I855" t="s">
        <v>970</v>
      </c>
    </row>
    <row r="856" spans="1:9" x14ac:dyDescent="0.3">
      <c r="A856" t="s">
        <v>10163</v>
      </c>
      <c r="B856" t="s">
        <v>57</v>
      </c>
      <c r="C856">
        <v>8989697390</v>
      </c>
      <c r="D856" s="2">
        <v>1</v>
      </c>
      <c r="E856" t="str">
        <f>"4574674200446342"</f>
        <v>4574674200446342</v>
      </c>
      <c r="F856" t="str">
        <f>"560"</f>
        <v>560</v>
      </c>
      <c r="G856">
        <v>1</v>
      </c>
      <c r="H856">
        <v>2023</v>
      </c>
      <c r="I856" t="s">
        <v>971</v>
      </c>
    </row>
    <row r="857" spans="1:9" x14ac:dyDescent="0.3">
      <c r="A857" t="s">
        <v>10163</v>
      </c>
      <c r="B857" t="s">
        <v>57</v>
      </c>
      <c r="C857">
        <v>8989697390</v>
      </c>
      <c r="D857" s="2">
        <v>1</v>
      </c>
      <c r="E857" t="str">
        <f>"4574674200446375"</f>
        <v>4574674200446375</v>
      </c>
      <c r="F857" t="str">
        <f>"574"</f>
        <v>574</v>
      </c>
      <c r="G857">
        <v>1</v>
      </c>
      <c r="H857">
        <v>2023</v>
      </c>
      <c r="I857" t="s">
        <v>972</v>
      </c>
    </row>
    <row r="858" spans="1:9" x14ac:dyDescent="0.3">
      <c r="A858" t="s">
        <v>10163</v>
      </c>
      <c r="B858" t="s">
        <v>57</v>
      </c>
      <c r="C858">
        <v>8989697390</v>
      </c>
      <c r="D858" s="2">
        <v>1</v>
      </c>
      <c r="E858" t="str">
        <f>"4574674200446623"</f>
        <v>4574674200446623</v>
      </c>
      <c r="F858" t="str">
        <f>"200"</f>
        <v>200</v>
      </c>
      <c r="G858">
        <v>1</v>
      </c>
      <c r="H858">
        <v>2023</v>
      </c>
      <c r="I858" t="s">
        <v>973</v>
      </c>
    </row>
    <row r="859" spans="1:9" x14ac:dyDescent="0.3">
      <c r="A859" t="s">
        <v>10163</v>
      </c>
      <c r="B859" t="s">
        <v>57</v>
      </c>
      <c r="C859">
        <v>8989697390</v>
      </c>
      <c r="D859" s="2">
        <v>1</v>
      </c>
      <c r="E859" t="str">
        <f>"4574674200446466"</f>
        <v>4574674200446466</v>
      </c>
      <c r="F859" t="str">
        <f>"998"</f>
        <v>998</v>
      </c>
      <c r="G859">
        <v>1</v>
      </c>
      <c r="H859">
        <v>2023</v>
      </c>
      <c r="I859" t="s">
        <v>974</v>
      </c>
    </row>
    <row r="860" spans="1:9" x14ac:dyDescent="0.3">
      <c r="A860" t="s">
        <v>10163</v>
      </c>
      <c r="B860" t="s">
        <v>57</v>
      </c>
      <c r="C860">
        <v>8989697390</v>
      </c>
      <c r="D860" s="2">
        <v>1</v>
      </c>
      <c r="E860" t="str">
        <f>"4574674200446656"</f>
        <v>4574674200446656</v>
      </c>
      <c r="F860" t="str">
        <f>"213"</f>
        <v>213</v>
      </c>
      <c r="G860">
        <v>1</v>
      </c>
      <c r="H860">
        <v>2023</v>
      </c>
      <c r="I860" t="s">
        <v>975</v>
      </c>
    </row>
    <row r="861" spans="1:9" x14ac:dyDescent="0.3">
      <c r="A861" t="s">
        <v>10163</v>
      </c>
      <c r="B861" t="s">
        <v>57</v>
      </c>
      <c r="C861">
        <v>8989697390</v>
      </c>
      <c r="D861" s="2">
        <v>1</v>
      </c>
      <c r="E861" t="str">
        <f>"4574674200446722"</f>
        <v>4574674200446722</v>
      </c>
      <c r="F861" t="str">
        <f>"344"</f>
        <v>344</v>
      </c>
      <c r="G861">
        <v>1</v>
      </c>
      <c r="H861">
        <v>2023</v>
      </c>
      <c r="I861" t="s">
        <v>976</v>
      </c>
    </row>
    <row r="862" spans="1:9" x14ac:dyDescent="0.3">
      <c r="A862" t="s">
        <v>10173</v>
      </c>
      <c r="B862" t="s">
        <v>76</v>
      </c>
      <c r="C862">
        <v>8989697390</v>
      </c>
      <c r="D862" s="2">
        <v>1</v>
      </c>
      <c r="E862" t="str">
        <f>"4574674200446714"</f>
        <v>4574674200446714</v>
      </c>
      <c r="F862" t="str">
        <f>"570"</f>
        <v>570</v>
      </c>
      <c r="G862">
        <v>1</v>
      </c>
      <c r="H862">
        <v>2023</v>
      </c>
      <c r="I862" t="s">
        <v>977</v>
      </c>
    </row>
    <row r="863" spans="1:9" x14ac:dyDescent="0.3">
      <c r="A863" t="s">
        <v>10173</v>
      </c>
      <c r="B863" t="s">
        <v>76</v>
      </c>
      <c r="C863">
        <v>8989697390</v>
      </c>
      <c r="D863" s="2">
        <v>1</v>
      </c>
      <c r="E863" t="str">
        <f>"4574674200446508"</f>
        <v>4574674200446508</v>
      </c>
      <c r="F863" t="str">
        <f>"271"</f>
        <v>271</v>
      </c>
      <c r="G863">
        <v>1</v>
      </c>
      <c r="H863">
        <v>2023</v>
      </c>
      <c r="I863" t="s">
        <v>978</v>
      </c>
    </row>
    <row r="864" spans="1:9" x14ac:dyDescent="0.3">
      <c r="A864" t="s">
        <v>10173</v>
      </c>
      <c r="B864" t="s">
        <v>76</v>
      </c>
      <c r="C864">
        <v>8989697390</v>
      </c>
      <c r="D864" s="2">
        <v>1</v>
      </c>
      <c r="E864" t="str">
        <f>"4574674200446516"</f>
        <v>4574674200446516</v>
      </c>
      <c r="F864" t="str">
        <f>"262"</f>
        <v>262</v>
      </c>
      <c r="G864">
        <v>1</v>
      </c>
      <c r="H864">
        <v>2023</v>
      </c>
      <c r="I864" t="s">
        <v>979</v>
      </c>
    </row>
    <row r="865" spans="1:9" x14ac:dyDescent="0.3">
      <c r="A865" t="s">
        <v>10173</v>
      </c>
      <c r="B865" t="s">
        <v>76</v>
      </c>
      <c r="C865">
        <v>8989697390</v>
      </c>
      <c r="D865" s="2">
        <v>1</v>
      </c>
      <c r="E865" t="str">
        <f>"4574674200446771"</f>
        <v>4574674200446771</v>
      </c>
      <c r="F865" t="str">
        <f>"704"</f>
        <v>704</v>
      </c>
      <c r="G865">
        <v>1</v>
      </c>
      <c r="H865">
        <v>2023</v>
      </c>
      <c r="I865" t="s">
        <v>980</v>
      </c>
    </row>
    <row r="866" spans="1:9" x14ac:dyDescent="0.3">
      <c r="A866" t="s">
        <v>10173</v>
      </c>
      <c r="B866" t="s">
        <v>76</v>
      </c>
      <c r="C866">
        <v>8989697390</v>
      </c>
      <c r="D866" s="2">
        <v>1</v>
      </c>
      <c r="E866" t="str">
        <f>"4574674200446839"</f>
        <v>4574674200446839</v>
      </c>
      <c r="F866" t="str">
        <f>"530"</f>
        <v>530</v>
      </c>
      <c r="G866">
        <v>1</v>
      </c>
      <c r="H866">
        <v>2023</v>
      </c>
      <c r="I866" t="s">
        <v>981</v>
      </c>
    </row>
    <row r="867" spans="1:9" x14ac:dyDescent="0.3">
      <c r="A867" t="s">
        <v>10173</v>
      </c>
      <c r="B867" t="s">
        <v>76</v>
      </c>
      <c r="C867">
        <v>8989697390</v>
      </c>
      <c r="D867" s="2">
        <v>1</v>
      </c>
      <c r="E867" t="str">
        <f>"4574674200446888"</f>
        <v>4574674200446888</v>
      </c>
      <c r="F867" t="str">
        <f>"064"</f>
        <v>064</v>
      </c>
      <c r="G867">
        <v>1</v>
      </c>
      <c r="H867">
        <v>2023</v>
      </c>
      <c r="I867" t="s">
        <v>982</v>
      </c>
    </row>
    <row r="868" spans="1:9" x14ac:dyDescent="0.3">
      <c r="A868" t="s">
        <v>10173</v>
      </c>
      <c r="B868" t="s">
        <v>76</v>
      </c>
      <c r="C868">
        <v>8989697390</v>
      </c>
      <c r="D868" s="2">
        <v>1</v>
      </c>
      <c r="E868" t="str">
        <f>"4574674200446870"</f>
        <v>4574674200446870</v>
      </c>
      <c r="F868" t="str">
        <f>"531"</f>
        <v>531</v>
      </c>
      <c r="G868">
        <v>1</v>
      </c>
      <c r="H868">
        <v>2023</v>
      </c>
      <c r="I868" t="s">
        <v>983</v>
      </c>
    </row>
    <row r="869" spans="1:9" x14ac:dyDescent="0.3">
      <c r="A869" t="s">
        <v>10173</v>
      </c>
      <c r="B869" t="s">
        <v>76</v>
      </c>
      <c r="C869">
        <v>8989697390</v>
      </c>
      <c r="D869" s="2">
        <v>1</v>
      </c>
      <c r="E869" t="str">
        <f>"4574674200446557"</f>
        <v>4574674200446557</v>
      </c>
      <c r="F869" t="str">
        <f>"611"</f>
        <v>611</v>
      </c>
      <c r="G869">
        <v>1</v>
      </c>
      <c r="H869">
        <v>2023</v>
      </c>
      <c r="I869" t="s">
        <v>984</v>
      </c>
    </row>
    <row r="870" spans="1:9" x14ac:dyDescent="0.3">
      <c r="A870" t="s">
        <v>10173</v>
      </c>
      <c r="B870" t="s">
        <v>76</v>
      </c>
      <c r="C870">
        <v>8989697390</v>
      </c>
      <c r="D870" s="2">
        <v>1</v>
      </c>
      <c r="E870" t="str">
        <f>"4574674200446961"</f>
        <v>4574674200446961</v>
      </c>
      <c r="F870" t="str">
        <f>"393"</f>
        <v>393</v>
      </c>
      <c r="G870">
        <v>1</v>
      </c>
      <c r="H870">
        <v>2023</v>
      </c>
      <c r="I870" t="s">
        <v>985</v>
      </c>
    </row>
    <row r="871" spans="1:9" x14ac:dyDescent="0.3">
      <c r="A871" t="s">
        <v>10173</v>
      </c>
      <c r="B871" t="s">
        <v>76</v>
      </c>
      <c r="C871">
        <v>8989697390</v>
      </c>
      <c r="D871" s="2">
        <v>1</v>
      </c>
      <c r="E871" t="str">
        <f>"4574674200447225"</f>
        <v>4574674200447225</v>
      </c>
      <c r="F871" t="str">
        <f>"777"</f>
        <v>777</v>
      </c>
      <c r="G871">
        <v>1</v>
      </c>
      <c r="H871">
        <v>2023</v>
      </c>
      <c r="I871" t="s">
        <v>986</v>
      </c>
    </row>
    <row r="872" spans="1:9" x14ac:dyDescent="0.3">
      <c r="A872" t="s">
        <v>10175</v>
      </c>
      <c r="B872" t="s">
        <v>78</v>
      </c>
      <c r="C872">
        <v>8989697390</v>
      </c>
      <c r="D872" s="2">
        <v>1</v>
      </c>
      <c r="E872" t="str">
        <f>"4574674200447027"</f>
        <v>4574674200447027</v>
      </c>
      <c r="F872" t="str">
        <f>"898"</f>
        <v>898</v>
      </c>
      <c r="G872">
        <v>1</v>
      </c>
      <c r="H872">
        <v>2023</v>
      </c>
      <c r="I872" t="s">
        <v>987</v>
      </c>
    </row>
    <row r="873" spans="1:9" x14ac:dyDescent="0.3">
      <c r="A873" t="s">
        <v>10175</v>
      </c>
      <c r="B873" t="s">
        <v>78</v>
      </c>
      <c r="C873">
        <v>8989697390</v>
      </c>
      <c r="D873" s="2">
        <v>1</v>
      </c>
      <c r="E873" t="str">
        <f>"4574674200447233"</f>
        <v>4574674200447233</v>
      </c>
      <c r="F873" t="str">
        <f>"058"</f>
        <v>058</v>
      </c>
      <c r="G873">
        <v>1</v>
      </c>
      <c r="H873">
        <v>2023</v>
      </c>
      <c r="I873" t="s">
        <v>988</v>
      </c>
    </row>
    <row r="874" spans="1:9" x14ac:dyDescent="0.3">
      <c r="A874" t="s">
        <v>10175</v>
      </c>
      <c r="B874" t="s">
        <v>78</v>
      </c>
      <c r="C874">
        <v>8989697390</v>
      </c>
      <c r="D874" s="2">
        <v>1</v>
      </c>
      <c r="E874" t="str">
        <f>"4574674200447241"</f>
        <v>4574674200447241</v>
      </c>
      <c r="F874" t="str">
        <f>"495"</f>
        <v>495</v>
      </c>
      <c r="G874">
        <v>1</v>
      </c>
      <c r="H874">
        <v>2023</v>
      </c>
      <c r="I874" t="s">
        <v>989</v>
      </c>
    </row>
    <row r="875" spans="1:9" x14ac:dyDescent="0.3">
      <c r="A875" t="s">
        <v>10175</v>
      </c>
      <c r="B875" t="s">
        <v>78</v>
      </c>
      <c r="C875">
        <v>8989697390</v>
      </c>
      <c r="D875" s="2">
        <v>1</v>
      </c>
      <c r="E875" t="str">
        <f>"4574674200447043"</f>
        <v>4574674200447043</v>
      </c>
      <c r="F875" t="str">
        <f>"988"</f>
        <v>988</v>
      </c>
      <c r="G875">
        <v>1</v>
      </c>
      <c r="H875">
        <v>2023</v>
      </c>
      <c r="I875" t="s">
        <v>990</v>
      </c>
    </row>
    <row r="876" spans="1:9" x14ac:dyDescent="0.3">
      <c r="A876" t="s">
        <v>10175</v>
      </c>
      <c r="B876" t="s">
        <v>78</v>
      </c>
      <c r="C876">
        <v>8989697390</v>
      </c>
      <c r="D876" s="2">
        <v>1</v>
      </c>
      <c r="E876" t="str">
        <f>"4574674200447324"</f>
        <v>4574674200447324</v>
      </c>
      <c r="F876" t="str">
        <f>"737"</f>
        <v>737</v>
      </c>
      <c r="G876">
        <v>1</v>
      </c>
      <c r="H876">
        <v>2023</v>
      </c>
      <c r="I876" t="s">
        <v>991</v>
      </c>
    </row>
    <row r="877" spans="1:9" x14ac:dyDescent="0.3">
      <c r="A877" t="s">
        <v>10175</v>
      </c>
      <c r="B877" t="s">
        <v>78</v>
      </c>
      <c r="C877">
        <v>8989697390</v>
      </c>
      <c r="D877" s="2">
        <v>1</v>
      </c>
      <c r="E877" t="str">
        <f>"4574674200447084"</f>
        <v>4574674200447084</v>
      </c>
      <c r="F877" t="str">
        <f>"490"</f>
        <v>490</v>
      </c>
      <c r="G877">
        <v>1</v>
      </c>
      <c r="H877">
        <v>2023</v>
      </c>
      <c r="I877" t="s">
        <v>992</v>
      </c>
    </row>
    <row r="878" spans="1:9" x14ac:dyDescent="0.3">
      <c r="A878" t="s">
        <v>10175</v>
      </c>
      <c r="B878" t="s">
        <v>78</v>
      </c>
      <c r="C878">
        <v>8989697390</v>
      </c>
      <c r="D878" s="2">
        <v>1</v>
      </c>
      <c r="E878" t="str">
        <f>"4574674200447381"</f>
        <v>4574674200447381</v>
      </c>
      <c r="F878" t="str">
        <f>"850"</f>
        <v>850</v>
      </c>
      <c r="G878">
        <v>1</v>
      </c>
      <c r="H878">
        <v>2023</v>
      </c>
      <c r="I878" t="s">
        <v>993</v>
      </c>
    </row>
    <row r="879" spans="1:9" x14ac:dyDescent="0.3">
      <c r="A879" t="s">
        <v>10175</v>
      </c>
      <c r="B879" t="s">
        <v>78</v>
      </c>
      <c r="C879">
        <v>8989697390</v>
      </c>
      <c r="D879" s="2">
        <v>1</v>
      </c>
      <c r="E879" t="str">
        <f>"4574674200447373"</f>
        <v>4574674200447373</v>
      </c>
      <c r="F879" t="str">
        <f>"096"</f>
        <v>096</v>
      </c>
      <c r="G879">
        <v>1</v>
      </c>
      <c r="H879">
        <v>2023</v>
      </c>
      <c r="I879" t="s">
        <v>994</v>
      </c>
    </row>
    <row r="880" spans="1:9" x14ac:dyDescent="0.3">
      <c r="A880" t="s">
        <v>10175</v>
      </c>
      <c r="B880" t="s">
        <v>78</v>
      </c>
      <c r="C880">
        <v>8989697390</v>
      </c>
      <c r="D880" s="2">
        <v>1</v>
      </c>
      <c r="E880" t="str">
        <f>"4574674200447407"</f>
        <v>4574674200447407</v>
      </c>
      <c r="F880" t="str">
        <f>"373"</f>
        <v>373</v>
      </c>
      <c r="G880">
        <v>1</v>
      </c>
      <c r="H880">
        <v>2023</v>
      </c>
      <c r="I880" t="s">
        <v>995</v>
      </c>
    </row>
    <row r="881" spans="1:9" x14ac:dyDescent="0.3">
      <c r="A881" t="s">
        <v>10175</v>
      </c>
      <c r="B881" t="s">
        <v>78</v>
      </c>
      <c r="C881">
        <v>8989697390</v>
      </c>
      <c r="D881" s="2">
        <v>1</v>
      </c>
      <c r="E881" t="str">
        <f>"4574674200447456"</f>
        <v>4574674200447456</v>
      </c>
      <c r="F881" t="str">
        <f>"148"</f>
        <v>148</v>
      </c>
      <c r="G881">
        <v>1</v>
      </c>
      <c r="H881">
        <v>2023</v>
      </c>
      <c r="I881" t="s">
        <v>996</v>
      </c>
    </row>
    <row r="882" spans="1:9" x14ac:dyDescent="0.3">
      <c r="A882" t="s">
        <v>10168</v>
      </c>
      <c r="B882" t="s">
        <v>69</v>
      </c>
      <c r="C882">
        <v>8989697390</v>
      </c>
      <c r="D882" s="2">
        <v>1</v>
      </c>
      <c r="E882" t="str">
        <f>"4574674200447142"</f>
        <v>4574674200447142</v>
      </c>
      <c r="F882" t="str">
        <f>"960"</f>
        <v>960</v>
      </c>
      <c r="G882">
        <v>1</v>
      </c>
      <c r="H882">
        <v>2023</v>
      </c>
      <c r="I882" t="s">
        <v>997</v>
      </c>
    </row>
    <row r="883" spans="1:9" x14ac:dyDescent="0.3">
      <c r="A883" t="s">
        <v>10168</v>
      </c>
      <c r="B883" t="s">
        <v>69</v>
      </c>
      <c r="C883">
        <v>8989697390</v>
      </c>
      <c r="D883" s="2">
        <v>1</v>
      </c>
      <c r="E883" t="str">
        <f>"4574674200447530"</f>
        <v>4574674200447530</v>
      </c>
      <c r="F883" t="str">
        <f>"448"</f>
        <v>448</v>
      </c>
      <c r="G883">
        <v>1</v>
      </c>
      <c r="H883">
        <v>2023</v>
      </c>
      <c r="I883" t="s">
        <v>998</v>
      </c>
    </row>
    <row r="884" spans="1:9" x14ac:dyDescent="0.3">
      <c r="A884" t="s">
        <v>10168</v>
      </c>
      <c r="B884" t="s">
        <v>69</v>
      </c>
      <c r="C884">
        <v>8989697390</v>
      </c>
      <c r="D884" s="2">
        <v>1</v>
      </c>
      <c r="E884" t="str">
        <f>"4574674200447548"</f>
        <v>4574674200447548</v>
      </c>
      <c r="F884" t="str">
        <f>"791"</f>
        <v>791</v>
      </c>
      <c r="G884">
        <v>1</v>
      </c>
      <c r="H884">
        <v>2023</v>
      </c>
      <c r="I884" t="s">
        <v>999</v>
      </c>
    </row>
    <row r="885" spans="1:9" x14ac:dyDescent="0.3">
      <c r="A885" t="s">
        <v>10168</v>
      </c>
      <c r="B885" t="s">
        <v>69</v>
      </c>
      <c r="C885">
        <v>8989697390</v>
      </c>
      <c r="D885" s="2">
        <v>1</v>
      </c>
      <c r="E885" t="str">
        <f>"4574674200447555"</f>
        <v>4574674200447555</v>
      </c>
      <c r="F885" t="str">
        <f>"998"</f>
        <v>998</v>
      </c>
      <c r="G885">
        <v>1</v>
      </c>
      <c r="H885">
        <v>2023</v>
      </c>
      <c r="I885" t="s">
        <v>1000</v>
      </c>
    </row>
    <row r="886" spans="1:9" x14ac:dyDescent="0.3">
      <c r="A886" t="s">
        <v>10168</v>
      </c>
      <c r="B886" t="s">
        <v>69</v>
      </c>
      <c r="C886">
        <v>8989697390</v>
      </c>
      <c r="D886" s="2">
        <v>1</v>
      </c>
      <c r="E886" t="str">
        <f>"4574674200447167"</f>
        <v>4574674200447167</v>
      </c>
      <c r="F886" t="str">
        <f>"108"</f>
        <v>108</v>
      </c>
      <c r="G886">
        <v>1</v>
      </c>
      <c r="H886">
        <v>2023</v>
      </c>
      <c r="I886" t="s">
        <v>1001</v>
      </c>
    </row>
    <row r="887" spans="1:9" x14ac:dyDescent="0.3">
      <c r="A887" t="s">
        <v>10168</v>
      </c>
      <c r="B887" t="s">
        <v>69</v>
      </c>
      <c r="C887">
        <v>8989697390</v>
      </c>
      <c r="D887" s="2">
        <v>1</v>
      </c>
      <c r="E887" t="str">
        <f>"4574674200447183"</f>
        <v>4574674200447183</v>
      </c>
      <c r="F887" t="str">
        <f>"170"</f>
        <v>170</v>
      </c>
      <c r="G887">
        <v>1</v>
      </c>
      <c r="H887">
        <v>2023</v>
      </c>
      <c r="I887" t="s">
        <v>1002</v>
      </c>
    </row>
    <row r="888" spans="1:9" x14ac:dyDescent="0.3">
      <c r="A888" t="s">
        <v>10168</v>
      </c>
      <c r="B888" t="s">
        <v>69</v>
      </c>
      <c r="C888">
        <v>8989697390</v>
      </c>
      <c r="D888" s="2">
        <v>1</v>
      </c>
      <c r="E888" t="str">
        <f>"4574674200447613"</f>
        <v>4574674200447613</v>
      </c>
      <c r="F888" t="str">
        <f>"415"</f>
        <v>415</v>
      </c>
      <c r="G888">
        <v>1</v>
      </c>
      <c r="H888">
        <v>2023</v>
      </c>
      <c r="I888" t="s">
        <v>1003</v>
      </c>
    </row>
    <row r="889" spans="1:9" x14ac:dyDescent="0.3">
      <c r="A889" t="s">
        <v>10168</v>
      </c>
      <c r="B889" t="s">
        <v>69</v>
      </c>
      <c r="C889">
        <v>8989697390</v>
      </c>
      <c r="D889" s="2">
        <v>1</v>
      </c>
      <c r="E889" t="str">
        <f>"4574674200447696"</f>
        <v>4574674200447696</v>
      </c>
      <c r="F889" t="str">
        <f>"398"</f>
        <v>398</v>
      </c>
      <c r="G889">
        <v>1</v>
      </c>
      <c r="H889">
        <v>2023</v>
      </c>
      <c r="I889" t="s">
        <v>1004</v>
      </c>
    </row>
    <row r="890" spans="1:9" x14ac:dyDescent="0.3">
      <c r="A890" t="s">
        <v>10168</v>
      </c>
      <c r="B890" t="s">
        <v>69</v>
      </c>
      <c r="C890">
        <v>8989697390</v>
      </c>
      <c r="D890" s="2">
        <v>1</v>
      </c>
      <c r="E890" t="str">
        <f>"4574674200447704"</f>
        <v>4574674200447704</v>
      </c>
      <c r="F890" t="str">
        <f>"842"</f>
        <v>842</v>
      </c>
      <c r="G890">
        <v>1</v>
      </c>
      <c r="H890">
        <v>2023</v>
      </c>
      <c r="I890" t="s">
        <v>1005</v>
      </c>
    </row>
    <row r="891" spans="1:9" x14ac:dyDescent="0.3">
      <c r="A891" t="s">
        <v>10168</v>
      </c>
      <c r="B891" t="s">
        <v>69</v>
      </c>
      <c r="C891">
        <v>8989697390</v>
      </c>
      <c r="D891" s="2">
        <v>1</v>
      </c>
      <c r="E891" t="str">
        <f>"4574674200447712"</f>
        <v>4574674200447712</v>
      </c>
      <c r="F891" t="str">
        <f>"341"</f>
        <v>341</v>
      </c>
      <c r="G891">
        <v>1</v>
      </c>
      <c r="H891">
        <v>2023</v>
      </c>
      <c r="I891" t="s">
        <v>1006</v>
      </c>
    </row>
    <row r="892" spans="1:9" x14ac:dyDescent="0.3">
      <c r="A892" t="s">
        <v>10124</v>
      </c>
      <c r="B892" t="s">
        <v>79</v>
      </c>
      <c r="C892">
        <v>8989697390</v>
      </c>
      <c r="D892" s="2">
        <v>1</v>
      </c>
      <c r="E892" t="str">
        <f>"4574674200447795"</f>
        <v>4574674200447795</v>
      </c>
      <c r="F892" t="str">
        <f>"317"</f>
        <v>317</v>
      </c>
      <c r="G892">
        <v>1</v>
      </c>
      <c r="H892">
        <v>2023</v>
      </c>
      <c r="I892" t="s">
        <v>1007</v>
      </c>
    </row>
    <row r="893" spans="1:9" x14ac:dyDescent="0.3">
      <c r="A893" t="s">
        <v>10124</v>
      </c>
      <c r="B893" t="s">
        <v>79</v>
      </c>
      <c r="C893">
        <v>8989697390</v>
      </c>
      <c r="D893" s="2">
        <v>1</v>
      </c>
      <c r="E893" t="str">
        <f>"4574674200448041"</f>
        <v>4574674200448041</v>
      </c>
      <c r="F893" t="str">
        <f>"488"</f>
        <v>488</v>
      </c>
      <c r="G893">
        <v>1</v>
      </c>
      <c r="H893">
        <v>2023</v>
      </c>
      <c r="I893" t="s">
        <v>1008</v>
      </c>
    </row>
    <row r="894" spans="1:9" x14ac:dyDescent="0.3">
      <c r="A894" t="s">
        <v>10124</v>
      </c>
      <c r="B894" t="s">
        <v>79</v>
      </c>
      <c r="C894">
        <v>8989697390</v>
      </c>
      <c r="D894" s="2">
        <v>1</v>
      </c>
      <c r="E894" t="str">
        <f>"4574674200448066"</f>
        <v>4574674200448066</v>
      </c>
      <c r="F894" t="str">
        <f>"791"</f>
        <v>791</v>
      </c>
      <c r="G894">
        <v>1</v>
      </c>
      <c r="H894">
        <v>2023</v>
      </c>
      <c r="I894" t="s">
        <v>1009</v>
      </c>
    </row>
    <row r="895" spans="1:9" x14ac:dyDescent="0.3">
      <c r="A895" t="s">
        <v>10124</v>
      </c>
      <c r="B895" t="s">
        <v>79</v>
      </c>
      <c r="C895">
        <v>8989697390</v>
      </c>
      <c r="D895" s="2">
        <v>1</v>
      </c>
      <c r="E895" t="str">
        <f>"4574674200448074"</f>
        <v>4574674200448074</v>
      </c>
      <c r="F895" t="str">
        <f>"930"</f>
        <v>930</v>
      </c>
      <c r="G895">
        <v>1</v>
      </c>
      <c r="H895">
        <v>2023</v>
      </c>
      <c r="I895" t="s">
        <v>1010</v>
      </c>
    </row>
    <row r="896" spans="1:9" x14ac:dyDescent="0.3">
      <c r="A896" t="s">
        <v>10124</v>
      </c>
      <c r="B896" t="s">
        <v>79</v>
      </c>
      <c r="C896">
        <v>8989697390</v>
      </c>
      <c r="D896" s="2">
        <v>1</v>
      </c>
      <c r="E896" t="str">
        <f>"4574674200447894"</f>
        <v>4574674200447894</v>
      </c>
      <c r="F896" t="str">
        <f>"612"</f>
        <v>612</v>
      </c>
      <c r="G896">
        <v>1</v>
      </c>
      <c r="H896">
        <v>2023</v>
      </c>
      <c r="I896" t="s">
        <v>1011</v>
      </c>
    </row>
    <row r="897" spans="1:9" x14ac:dyDescent="0.3">
      <c r="A897" t="s">
        <v>10124</v>
      </c>
      <c r="B897" t="s">
        <v>79</v>
      </c>
      <c r="C897">
        <v>8989697390</v>
      </c>
      <c r="D897" s="2">
        <v>1</v>
      </c>
      <c r="E897" t="str">
        <f>"4574674200447902"</f>
        <v>4574674200447902</v>
      </c>
      <c r="F897" t="str">
        <f>"637"</f>
        <v>637</v>
      </c>
      <c r="G897">
        <v>1</v>
      </c>
      <c r="H897">
        <v>2023</v>
      </c>
      <c r="I897" t="s">
        <v>1012</v>
      </c>
    </row>
    <row r="898" spans="1:9" x14ac:dyDescent="0.3">
      <c r="A898" t="s">
        <v>10124</v>
      </c>
      <c r="B898" t="s">
        <v>79</v>
      </c>
      <c r="C898">
        <v>8989697390</v>
      </c>
      <c r="D898" s="2">
        <v>1</v>
      </c>
      <c r="E898" t="str">
        <f>"4574674200447910"</f>
        <v>4574674200447910</v>
      </c>
      <c r="F898" t="str">
        <f>"367"</f>
        <v>367</v>
      </c>
      <c r="G898">
        <v>1</v>
      </c>
      <c r="H898">
        <v>2023</v>
      </c>
      <c r="I898" t="s">
        <v>1013</v>
      </c>
    </row>
    <row r="899" spans="1:9" x14ac:dyDescent="0.3">
      <c r="A899" t="s">
        <v>10124</v>
      </c>
      <c r="B899" t="s">
        <v>79</v>
      </c>
      <c r="C899">
        <v>8989697390</v>
      </c>
      <c r="D899" s="2">
        <v>1</v>
      </c>
      <c r="E899" t="str">
        <f>"4574674200448173"</f>
        <v>4574674200448173</v>
      </c>
      <c r="F899" t="str">
        <f>"688"</f>
        <v>688</v>
      </c>
      <c r="G899">
        <v>1</v>
      </c>
      <c r="H899">
        <v>2023</v>
      </c>
      <c r="I899" t="s">
        <v>1014</v>
      </c>
    </row>
    <row r="900" spans="1:9" x14ac:dyDescent="0.3">
      <c r="A900" t="s">
        <v>10124</v>
      </c>
      <c r="B900" t="s">
        <v>79</v>
      </c>
      <c r="C900">
        <v>8989697390</v>
      </c>
      <c r="D900" s="2">
        <v>1</v>
      </c>
      <c r="E900" t="str">
        <f>"4574674200448181"</f>
        <v>4574674200448181</v>
      </c>
      <c r="F900" t="str">
        <f>"682"</f>
        <v>682</v>
      </c>
      <c r="G900">
        <v>1</v>
      </c>
      <c r="H900">
        <v>2023</v>
      </c>
      <c r="I900" t="s">
        <v>1015</v>
      </c>
    </row>
    <row r="901" spans="1:9" x14ac:dyDescent="0.3">
      <c r="A901" t="s">
        <v>10124</v>
      </c>
      <c r="B901" t="s">
        <v>79</v>
      </c>
      <c r="C901">
        <v>8989697390</v>
      </c>
      <c r="D901" s="2">
        <v>1</v>
      </c>
      <c r="E901" t="str">
        <f>"4574674200448207"</f>
        <v>4574674200448207</v>
      </c>
      <c r="F901" t="str">
        <f>"311"</f>
        <v>311</v>
      </c>
      <c r="G901">
        <v>1</v>
      </c>
      <c r="H901">
        <v>2023</v>
      </c>
      <c r="I901" t="s">
        <v>1016</v>
      </c>
    </row>
    <row r="902" spans="1:9" x14ac:dyDescent="0.3">
      <c r="A902" t="s">
        <v>10125</v>
      </c>
      <c r="B902" t="s">
        <v>80</v>
      </c>
      <c r="C902">
        <v>8989697390</v>
      </c>
      <c r="D902" s="2">
        <v>1</v>
      </c>
      <c r="E902" t="str">
        <f>"4574674200448199"</f>
        <v>4574674200448199</v>
      </c>
      <c r="F902" t="str">
        <f>"710"</f>
        <v>710</v>
      </c>
      <c r="G902">
        <v>1</v>
      </c>
      <c r="H902">
        <v>2023</v>
      </c>
      <c r="I902" t="s">
        <v>1017</v>
      </c>
    </row>
    <row r="903" spans="1:9" x14ac:dyDescent="0.3">
      <c r="A903" t="s">
        <v>10125</v>
      </c>
      <c r="B903" t="s">
        <v>80</v>
      </c>
      <c r="C903">
        <v>8989697390</v>
      </c>
      <c r="D903" s="2">
        <v>1</v>
      </c>
      <c r="E903" t="str">
        <f>"4574674200448405"</f>
        <v>4574674200448405</v>
      </c>
      <c r="F903" t="str">
        <f>"743"</f>
        <v>743</v>
      </c>
      <c r="G903">
        <v>1</v>
      </c>
      <c r="H903">
        <v>2023</v>
      </c>
      <c r="I903" t="s">
        <v>1018</v>
      </c>
    </row>
    <row r="904" spans="1:9" x14ac:dyDescent="0.3">
      <c r="A904" t="s">
        <v>10125</v>
      </c>
      <c r="B904" t="s">
        <v>80</v>
      </c>
      <c r="C904">
        <v>8989697390</v>
      </c>
      <c r="D904" s="2">
        <v>1</v>
      </c>
      <c r="E904" t="str">
        <f>"4574674200448421"</f>
        <v>4574674200448421</v>
      </c>
      <c r="F904" t="str">
        <f>"286"</f>
        <v>286</v>
      </c>
      <c r="G904">
        <v>1</v>
      </c>
      <c r="H904">
        <v>2023</v>
      </c>
      <c r="I904" t="s">
        <v>1019</v>
      </c>
    </row>
    <row r="905" spans="1:9" x14ac:dyDescent="0.3">
      <c r="A905" t="s">
        <v>10125</v>
      </c>
      <c r="B905" t="s">
        <v>80</v>
      </c>
      <c r="C905">
        <v>8989697390</v>
      </c>
      <c r="D905" s="2">
        <v>1</v>
      </c>
      <c r="E905" t="str">
        <f>"4574674200448439"</f>
        <v>4574674200448439</v>
      </c>
      <c r="F905" t="str">
        <f>"842"</f>
        <v>842</v>
      </c>
      <c r="G905">
        <v>1</v>
      </c>
      <c r="H905">
        <v>2023</v>
      </c>
      <c r="I905" t="s">
        <v>1020</v>
      </c>
    </row>
    <row r="906" spans="1:9" x14ac:dyDescent="0.3">
      <c r="A906" t="s">
        <v>10125</v>
      </c>
      <c r="B906" t="s">
        <v>80</v>
      </c>
      <c r="C906">
        <v>8989697390</v>
      </c>
      <c r="D906" s="2">
        <v>1</v>
      </c>
      <c r="E906" t="str">
        <f>"4574674200448298"</f>
        <v>4574674200448298</v>
      </c>
      <c r="F906" t="str">
        <f>"009"</f>
        <v>009</v>
      </c>
      <c r="G906">
        <v>1</v>
      </c>
      <c r="H906">
        <v>2023</v>
      </c>
      <c r="I906" t="s">
        <v>1021</v>
      </c>
    </row>
    <row r="907" spans="1:9" x14ac:dyDescent="0.3">
      <c r="A907" t="s">
        <v>10125</v>
      </c>
      <c r="B907" t="s">
        <v>80</v>
      </c>
      <c r="C907">
        <v>8989697390</v>
      </c>
      <c r="D907" s="2">
        <v>1</v>
      </c>
      <c r="E907" t="str">
        <f>"4574674200448348"</f>
        <v>4574674200448348</v>
      </c>
      <c r="F907" t="str">
        <f>"622"</f>
        <v>622</v>
      </c>
      <c r="G907">
        <v>1</v>
      </c>
      <c r="H907">
        <v>2023</v>
      </c>
      <c r="I907" t="s">
        <v>1022</v>
      </c>
    </row>
    <row r="908" spans="1:9" x14ac:dyDescent="0.3">
      <c r="A908" t="s">
        <v>10125</v>
      </c>
      <c r="B908" t="s">
        <v>80</v>
      </c>
      <c r="C908">
        <v>8989697390</v>
      </c>
      <c r="D908" s="2">
        <v>1</v>
      </c>
      <c r="E908" t="str">
        <f>"4574674200448363"</f>
        <v>4574674200448363</v>
      </c>
      <c r="F908" t="str">
        <f>"573"</f>
        <v>573</v>
      </c>
      <c r="G908">
        <v>1</v>
      </c>
      <c r="H908">
        <v>2023</v>
      </c>
      <c r="I908" t="s">
        <v>1023</v>
      </c>
    </row>
    <row r="909" spans="1:9" x14ac:dyDescent="0.3">
      <c r="A909" t="s">
        <v>10125</v>
      </c>
      <c r="B909" t="s">
        <v>80</v>
      </c>
      <c r="C909">
        <v>8989697390</v>
      </c>
      <c r="D909" s="2">
        <v>1</v>
      </c>
      <c r="E909" t="str">
        <f>"4574674200448355"</f>
        <v>4574674200448355</v>
      </c>
      <c r="F909" t="str">
        <f>"388"</f>
        <v>388</v>
      </c>
      <c r="G909">
        <v>1</v>
      </c>
      <c r="H909">
        <v>2023</v>
      </c>
      <c r="I909" t="s">
        <v>1024</v>
      </c>
    </row>
    <row r="910" spans="1:9" x14ac:dyDescent="0.3">
      <c r="A910" t="s">
        <v>10125</v>
      </c>
      <c r="B910" t="s">
        <v>80</v>
      </c>
      <c r="C910">
        <v>8989697390</v>
      </c>
      <c r="D910" s="2">
        <v>1</v>
      </c>
      <c r="E910" t="str">
        <f>"4574674200448538"</f>
        <v>4574674200448538</v>
      </c>
      <c r="F910" t="str">
        <f>"639"</f>
        <v>639</v>
      </c>
      <c r="G910">
        <v>1</v>
      </c>
      <c r="H910">
        <v>2023</v>
      </c>
      <c r="I910" t="s">
        <v>1025</v>
      </c>
    </row>
    <row r="911" spans="1:9" x14ac:dyDescent="0.3">
      <c r="A911" t="s">
        <v>10125</v>
      </c>
      <c r="B911" t="s">
        <v>80</v>
      </c>
      <c r="C911">
        <v>8989697390</v>
      </c>
      <c r="D911" s="2">
        <v>1</v>
      </c>
      <c r="E911" t="str">
        <f>"4574674200448512"</f>
        <v>4574674200448512</v>
      </c>
      <c r="F911" t="str">
        <f>"934"</f>
        <v>934</v>
      </c>
      <c r="G911">
        <v>1</v>
      </c>
      <c r="H911">
        <v>2023</v>
      </c>
      <c r="I911" t="s">
        <v>1026</v>
      </c>
    </row>
    <row r="912" spans="1:9" x14ac:dyDescent="0.3">
      <c r="A912" t="s">
        <v>10163</v>
      </c>
      <c r="B912" t="s">
        <v>57</v>
      </c>
      <c r="C912">
        <v>8989697390</v>
      </c>
      <c r="D912" s="2">
        <v>1</v>
      </c>
      <c r="E912" t="str">
        <f>"4574674200448678"</f>
        <v>4574674200448678</v>
      </c>
      <c r="F912" t="str">
        <f>"456"</f>
        <v>456</v>
      </c>
      <c r="G912">
        <v>1</v>
      </c>
      <c r="H912">
        <v>2023</v>
      </c>
      <c r="I912" t="s">
        <v>1027</v>
      </c>
    </row>
    <row r="913" spans="1:9" x14ac:dyDescent="0.3">
      <c r="A913" t="s">
        <v>10163</v>
      </c>
      <c r="B913" t="s">
        <v>57</v>
      </c>
      <c r="C913">
        <v>8989697390</v>
      </c>
      <c r="D913" s="2">
        <v>1</v>
      </c>
      <c r="E913" t="str">
        <f>"4574674200448694"</f>
        <v>4574674200448694</v>
      </c>
      <c r="F913" t="str">
        <f>"984"</f>
        <v>984</v>
      </c>
      <c r="G913">
        <v>1</v>
      </c>
      <c r="H913">
        <v>2023</v>
      </c>
      <c r="I913" t="s">
        <v>1028</v>
      </c>
    </row>
    <row r="914" spans="1:9" x14ac:dyDescent="0.3">
      <c r="A914" t="s">
        <v>10163</v>
      </c>
      <c r="B914" t="s">
        <v>57</v>
      </c>
      <c r="C914">
        <v>8989697390</v>
      </c>
      <c r="D914" s="2">
        <v>1</v>
      </c>
      <c r="E914" t="str">
        <f>"4574674200448744"</f>
        <v>4574674200448744</v>
      </c>
      <c r="F914" t="str">
        <f>"565"</f>
        <v>565</v>
      </c>
      <c r="G914">
        <v>1</v>
      </c>
      <c r="H914">
        <v>2023</v>
      </c>
      <c r="I914" t="s">
        <v>1029</v>
      </c>
    </row>
    <row r="915" spans="1:9" x14ac:dyDescent="0.3">
      <c r="A915" t="s">
        <v>10163</v>
      </c>
      <c r="B915" t="s">
        <v>57</v>
      </c>
      <c r="C915">
        <v>8989697390</v>
      </c>
      <c r="D915" s="2">
        <v>1</v>
      </c>
      <c r="E915" t="str">
        <f>"4574674200448736"</f>
        <v>4574674200448736</v>
      </c>
      <c r="F915" t="str">
        <f>"694"</f>
        <v>694</v>
      </c>
      <c r="G915">
        <v>1</v>
      </c>
      <c r="H915">
        <v>2023</v>
      </c>
      <c r="I915" t="s">
        <v>1030</v>
      </c>
    </row>
    <row r="916" spans="1:9" x14ac:dyDescent="0.3">
      <c r="A916" t="s">
        <v>10163</v>
      </c>
      <c r="B916" t="s">
        <v>57</v>
      </c>
      <c r="C916">
        <v>8989697390</v>
      </c>
      <c r="D916" s="2">
        <v>1</v>
      </c>
      <c r="E916" t="str">
        <f>"4574674200448561"</f>
        <v>4574674200448561</v>
      </c>
      <c r="F916" t="str">
        <f>"626"</f>
        <v>626</v>
      </c>
      <c r="G916">
        <v>1</v>
      </c>
      <c r="H916">
        <v>2023</v>
      </c>
      <c r="I916" t="s">
        <v>1031</v>
      </c>
    </row>
    <row r="917" spans="1:9" x14ac:dyDescent="0.3">
      <c r="A917" t="s">
        <v>10163</v>
      </c>
      <c r="B917" t="s">
        <v>57</v>
      </c>
      <c r="C917">
        <v>8989697390</v>
      </c>
      <c r="D917" s="2">
        <v>1</v>
      </c>
      <c r="E917" t="str">
        <f>"4574674200449023"</f>
        <v>4574674200449023</v>
      </c>
      <c r="F917" t="str">
        <f>"836"</f>
        <v>836</v>
      </c>
      <c r="G917">
        <v>1</v>
      </c>
      <c r="H917">
        <v>2023</v>
      </c>
      <c r="I917" t="s">
        <v>1032</v>
      </c>
    </row>
    <row r="918" spans="1:9" x14ac:dyDescent="0.3">
      <c r="A918" t="s">
        <v>10163</v>
      </c>
      <c r="B918" t="s">
        <v>57</v>
      </c>
      <c r="C918">
        <v>8989697390</v>
      </c>
      <c r="D918" s="2">
        <v>1</v>
      </c>
      <c r="E918" t="str">
        <f>"4574674200449072"</f>
        <v>4574674200449072</v>
      </c>
      <c r="F918" t="str">
        <f>"259"</f>
        <v>259</v>
      </c>
      <c r="G918">
        <v>1</v>
      </c>
      <c r="H918">
        <v>2023</v>
      </c>
      <c r="I918" t="s">
        <v>1033</v>
      </c>
    </row>
    <row r="919" spans="1:9" x14ac:dyDescent="0.3">
      <c r="A919" t="s">
        <v>10163</v>
      </c>
      <c r="B919" t="s">
        <v>57</v>
      </c>
      <c r="C919">
        <v>8989697390</v>
      </c>
      <c r="D919" s="2">
        <v>1</v>
      </c>
      <c r="E919" t="str">
        <f>"4574674200449064"</f>
        <v>4574674200449064</v>
      </c>
      <c r="F919" t="str">
        <f>"139"</f>
        <v>139</v>
      </c>
      <c r="G919">
        <v>1</v>
      </c>
      <c r="H919">
        <v>2023</v>
      </c>
      <c r="I919" t="s">
        <v>1034</v>
      </c>
    </row>
    <row r="920" spans="1:9" x14ac:dyDescent="0.3">
      <c r="A920" t="s">
        <v>10163</v>
      </c>
      <c r="B920" t="s">
        <v>57</v>
      </c>
      <c r="C920">
        <v>8989697390</v>
      </c>
      <c r="D920" s="2">
        <v>1</v>
      </c>
      <c r="E920" t="str">
        <f>"4574674200448819"</f>
        <v>4574674200448819</v>
      </c>
      <c r="F920" t="str">
        <f>"621"</f>
        <v>621</v>
      </c>
      <c r="G920">
        <v>1</v>
      </c>
      <c r="H920">
        <v>2023</v>
      </c>
      <c r="I920" t="s">
        <v>1035</v>
      </c>
    </row>
    <row r="921" spans="1:9" x14ac:dyDescent="0.3">
      <c r="A921" t="s">
        <v>10163</v>
      </c>
      <c r="B921" t="s">
        <v>57</v>
      </c>
      <c r="C921">
        <v>8989697390</v>
      </c>
      <c r="D921" s="2">
        <v>1</v>
      </c>
      <c r="E921" t="str">
        <f>"4574674200448835"</f>
        <v>4574674200448835</v>
      </c>
      <c r="F921" t="str">
        <f>"349"</f>
        <v>349</v>
      </c>
      <c r="G921">
        <v>1</v>
      </c>
      <c r="H921">
        <v>2023</v>
      </c>
      <c r="I921" t="s">
        <v>1036</v>
      </c>
    </row>
    <row r="922" spans="1:9" x14ac:dyDescent="0.3">
      <c r="A922" t="s">
        <v>10164</v>
      </c>
      <c r="B922" t="s">
        <v>58</v>
      </c>
      <c r="C922">
        <v>8989697390</v>
      </c>
      <c r="D922" s="2">
        <v>1</v>
      </c>
      <c r="E922" t="str">
        <f>"4574674200449114"</f>
        <v>4574674200449114</v>
      </c>
      <c r="F922" t="str">
        <f>"252"</f>
        <v>252</v>
      </c>
      <c r="G922">
        <v>1</v>
      </c>
      <c r="H922">
        <v>2023</v>
      </c>
      <c r="I922" t="s">
        <v>1037</v>
      </c>
    </row>
    <row r="923" spans="1:9" x14ac:dyDescent="0.3">
      <c r="A923" t="s">
        <v>10164</v>
      </c>
      <c r="B923" t="s">
        <v>58</v>
      </c>
      <c r="C923">
        <v>8989697390</v>
      </c>
      <c r="D923" s="2">
        <v>1</v>
      </c>
      <c r="E923" t="str">
        <f>"4574674200448868"</f>
        <v>4574674200448868</v>
      </c>
      <c r="F923" t="str">
        <f>"020"</f>
        <v>020</v>
      </c>
      <c r="G923">
        <v>1</v>
      </c>
      <c r="H923">
        <v>2023</v>
      </c>
      <c r="I923" t="s">
        <v>1038</v>
      </c>
    </row>
    <row r="924" spans="1:9" x14ac:dyDescent="0.3">
      <c r="A924" t="s">
        <v>10164</v>
      </c>
      <c r="B924" t="s">
        <v>58</v>
      </c>
      <c r="C924">
        <v>8989697390</v>
      </c>
      <c r="D924" s="2">
        <v>1</v>
      </c>
      <c r="E924" t="str">
        <f>"4574674200449221"</f>
        <v>4574674200449221</v>
      </c>
      <c r="F924" t="str">
        <f>"374"</f>
        <v>374</v>
      </c>
      <c r="G924">
        <v>1</v>
      </c>
      <c r="H924">
        <v>2023</v>
      </c>
      <c r="I924" t="s">
        <v>1039</v>
      </c>
    </row>
    <row r="925" spans="1:9" x14ac:dyDescent="0.3">
      <c r="A925" t="s">
        <v>10164</v>
      </c>
      <c r="B925" t="s">
        <v>58</v>
      </c>
      <c r="C925">
        <v>8989697390</v>
      </c>
      <c r="D925" s="2">
        <v>1</v>
      </c>
      <c r="E925" t="str">
        <f>"4574674200449239"</f>
        <v>4574674200449239</v>
      </c>
      <c r="F925" t="str">
        <f>"191"</f>
        <v>191</v>
      </c>
      <c r="G925">
        <v>1</v>
      </c>
      <c r="H925">
        <v>2023</v>
      </c>
      <c r="I925" t="s">
        <v>1040</v>
      </c>
    </row>
    <row r="926" spans="1:9" x14ac:dyDescent="0.3">
      <c r="A926" t="s">
        <v>10164</v>
      </c>
      <c r="B926" t="s">
        <v>58</v>
      </c>
      <c r="C926">
        <v>8989697390</v>
      </c>
      <c r="D926" s="2">
        <v>1</v>
      </c>
      <c r="E926" t="str">
        <f>"4574674200449247"</f>
        <v>4574674200449247</v>
      </c>
      <c r="F926" t="str">
        <f>"527"</f>
        <v>527</v>
      </c>
      <c r="G926">
        <v>1</v>
      </c>
      <c r="H926">
        <v>2023</v>
      </c>
      <c r="I926" t="s">
        <v>1041</v>
      </c>
    </row>
    <row r="927" spans="1:9" x14ac:dyDescent="0.3">
      <c r="A927" t="s">
        <v>10164</v>
      </c>
      <c r="B927" t="s">
        <v>58</v>
      </c>
      <c r="C927">
        <v>8989697390</v>
      </c>
      <c r="D927" s="2">
        <v>1</v>
      </c>
      <c r="E927" t="str">
        <f>"4574674200449304"</f>
        <v>4574674200449304</v>
      </c>
      <c r="F927" t="str">
        <f>"031"</f>
        <v>031</v>
      </c>
      <c r="G927">
        <v>1</v>
      </c>
      <c r="H927">
        <v>2023</v>
      </c>
      <c r="I927" t="s">
        <v>1042</v>
      </c>
    </row>
    <row r="928" spans="1:9" x14ac:dyDescent="0.3">
      <c r="A928" t="s">
        <v>10164</v>
      </c>
      <c r="B928" t="s">
        <v>58</v>
      </c>
      <c r="C928">
        <v>8989697390</v>
      </c>
      <c r="D928" s="2">
        <v>1</v>
      </c>
      <c r="E928" t="str">
        <f>"4574674200449338"</f>
        <v>4574674200449338</v>
      </c>
      <c r="F928" t="str">
        <f>"938"</f>
        <v>938</v>
      </c>
      <c r="G928">
        <v>1</v>
      </c>
      <c r="H928">
        <v>2023</v>
      </c>
      <c r="I928" t="s">
        <v>1043</v>
      </c>
    </row>
    <row r="929" spans="1:9" x14ac:dyDescent="0.3">
      <c r="A929" t="s">
        <v>10164</v>
      </c>
      <c r="B929" t="s">
        <v>58</v>
      </c>
      <c r="C929">
        <v>8989697390</v>
      </c>
      <c r="D929" s="2">
        <v>1</v>
      </c>
      <c r="E929" t="str">
        <f>"4574674200449395"</f>
        <v>4574674200449395</v>
      </c>
      <c r="F929" t="str">
        <f>"653"</f>
        <v>653</v>
      </c>
      <c r="G929">
        <v>1</v>
      </c>
      <c r="H929">
        <v>2023</v>
      </c>
      <c r="I929" t="s">
        <v>1044</v>
      </c>
    </row>
    <row r="930" spans="1:9" x14ac:dyDescent="0.3">
      <c r="A930" t="s">
        <v>10164</v>
      </c>
      <c r="B930" t="s">
        <v>58</v>
      </c>
      <c r="C930">
        <v>8989697390</v>
      </c>
      <c r="D930" s="2">
        <v>1</v>
      </c>
      <c r="E930" t="str">
        <f>"4574674200448959"</f>
        <v>4574674200448959</v>
      </c>
      <c r="F930" t="str">
        <f>"713"</f>
        <v>713</v>
      </c>
      <c r="G930">
        <v>1</v>
      </c>
      <c r="H930">
        <v>2023</v>
      </c>
      <c r="I930" t="s">
        <v>1045</v>
      </c>
    </row>
    <row r="931" spans="1:9" x14ac:dyDescent="0.3">
      <c r="A931" t="s">
        <v>10164</v>
      </c>
      <c r="B931" t="s">
        <v>58</v>
      </c>
      <c r="C931">
        <v>8989697390</v>
      </c>
      <c r="D931" s="2">
        <v>1</v>
      </c>
      <c r="E931" t="str">
        <f>"4574674200448967"</f>
        <v>4574674200448967</v>
      </c>
      <c r="F931" t="str">
        <f>"897"</f>
        <v>897</v>
      </c>
      <c r="G931">
        <v>1</v>
      </c>
      <c r="H931">
        <v>2023</v>
      </c>
      <c r="I931" t="s">
        <v>1046</v>
      </c>
    </row>
    <row r="932" spans="1:9" x14ac:dyDescent="0.3">
      <c r="A932" t="s">
        <v>10124</v>
      </c>
      <c r="B932" t="s">
        <v>79</v>
      </c>
      <c r="C932">
        <v>8989697390</v>
      </c>
      <c r="D932" s="2">
        <v>1</v>
      </c>
      <c r="E932" t="str">
        <f>"4574674200448983"</f>
        <v>4574674200448983</v>
      </c>
      <c r="F932" t="str">
        <f>"804"</f>
        <v>804</v>
      </c>
      <c r="G932">
        <v>1</v>
      </c>
      <c r="H932">
        <v>2023</v>
      </c>
      <c r="I932" t="s">
        <v>1047</v>
      </c>
    </row>
    <row r="933" spans="1:9" x14ac:dyDescent="0.3">
      <c r="A933" t="s">
        <v>10124</v>
      </c>
      <c r="B933" t="s">
        <v>79</v>
      </c>
      <c r="C933">
        <v>8989697390</v>
      </c>
      <c r="D933" s="2">
        <v>1</v>
      </c>
      <c r="E933" t="str">
        <f>"4574674200449429"</f>
        <v>4574674200449429</v>
      </c>
      <c r="F933" t="str">
        <f>"050"</f>
        <v>050</v>
      </c>
      <c r="G933">
        <v>1</v>
      </c>
      <c r="H933">
        <v>2023</v>
      </c>
      <c r="I933" t="s">
        <v>1048</v>
      </c>
    </row>
    <row r="934" spans="1:9" x14ac:dyDescent="0.3">
      <c r="A934" t="s">
        <v>10124</v>
      </c>
      <c r="B934" t="s">
        <v>79</v>
      </c>
      <c r="C934">
        <v>8989697390</v>
      </c>
      <c r="D934" s="2">
        <v>1</v>
      </c>
      <c r="E934" t="str">
        <f>"4574674200449445"</f>
        <v>4574674200449445</v>
      </c>
      <c r="F934" t="str">
        <f>"954"</f>
        <v>954</v>
      </c>
      <c r="G934">
        <v>1</v>
      </c>
      <c r="H934">
        <v>2023</v>
      </c>
      <c r="I934" t="s">
        <v>1049</v>
      </c>
    </row>
    <row r="935" spans="1:9" x14ac:dyDescent="0.3">
      <c r="A935" t="s">
        <v>10124</v>
      </c>
      <c r="B935" t="s">
        <v>79</v>
      </c>
      <c r="C935">
        <v>8989697390</v>
      </c>
      <c r="D935" s="2">
        <v>1</v>
      </c>
      <c r="E935" t="str">
        <f>"4574674200449551"</f>
        <v>4574674200449551</v>
      </c>
      <c r="F935" t="str">
        <f>"709"</f>
        <v>709</v>
      </c>
      <c r="G935">
        <v>1</v>
      </c>
      <c r="H935">
        <v>2023</v>
      </c>
      <c r="I935" t="s">
        <v>1050</v>
      </c>
    </row>
    <row r="936" spans="1:9" x14ac:dyDescent="0.3">
      <c r="A936" t="s">
        <v>10124</v>
      </c>
      <c r="B936" t="s">
        <v>79</v>
      </c>
      <c r="C936">
        <v>8989697390</v>
      </c>
      <c r="D936" s="2">
        <v>1</v>
      </c>
      <c r="E936" t="str">
        <f>"4574674200449528"</f>
        <v>4574674200449528</v>
      </c>
      <c r="F936" t="str">
        <f>"520"</f>
        <v>520</v>
      </c>
      <c r="G936">
        <v>1</v>
      </c>
      <c r="H936">
        <v>2023</v>
      </c>
      <c r="I936" t="s">
        <v>1051</v>
      </c>
    </row>
    <row r="937" spans="1:9" x14ac:dyDescent="0.3">
      <c r="A937" t="s">
        <v>10124</v>
      </c>
      <c r="B937" t="s">
        <v>79</v>
      </c>
      <c r="C937">
        <v>8989697390</v>
      </c>
      <c r="D937" s="2">
        <v>1</v>
      </c>
      <c r="E937" t="str">
        <f>"4574674200449676"</f>
        <v>4574674200449676</v>
      </c>
      <c r="F937" t="str">
        <f>"570"</f>
        <v>570</v>
      </c>
      <c r="G937">
        <v>1</v>
      </c>
      <c r="H937">
        <v>2023</v>
      </c>
      <c r="I937" t="s">
        <v>1052</v>
      </c>
    </row>
    <row r="938" spans="1:9" x14ac:dyDescent="0.3">
      <c r="A938" t="s">
        <v>10124</v>
      </c>
      <c r="B938" t="s">
        <v>79</v>
      </c>
      <c r="C938">
        <v>8989697390</v>
      </c>
      <c r="D938" s="2">
        <v>1</v>
      </c>
      <c r="E938" t="str">
        <f>"4574674200449684"</f>
        <v>4574674200449684</v>
      </c>
      <c r="F938" t="str">
        <f>"813"</f>
        <v>813</v>
      </c>
      <c r="G938">
        <v>1</v>
      </c>
      <c r="H938">
        <v>2023</v>
      </c>
      <c r="I938" t="s">
        <v>1053</v>
      </c>
    </row>
    <row r="939" spans="1:9" x14ac:dyDescent="0.3">
      <c r="A939" t="s">
        <v>10124</v>
      </c>
      <c r="B939" t="s">
        <v>79</v>
      </c>
      <c r="C939">
        <v>8989697390</v>
      </c>
      <c r="D939" s="2">
        <v>1</v>
      </c>
      <c r="E939" t="str">
        <f>"4574674200449593"</f>
        <v>4574674200449593</v>
      </c>
      <c r="F939" t="str">
        <f>"648"</f>
        <v>648</v>
      </c>
      <c r="G939">
        <v>1</v>
      </c>
      <c r="H939">
        <v>2023</v>
      </c>
      <c r="I939" t="s">
        <v>1054</v>
      </c>
    </row>
    <row r="940" spans="1:9" x14ac:dyDescent="0.3">
      <c r="A940" t="s">
        <v>10124</v>
      </c>
      <c r="B940" t="s">
        <v>79</v>
      </c>
      <c r="C940">
        <v>8989697390</v>
      </c>
      <c r="D940" s="2">
        <v>1</v>
      </c>
      <c r="E940" t="str">
        <f>"4574674200449700"</f>
        <v>4574674200449700</v>
      </c>
      <c r="F940" t="str">
        <f>"610"</f>
        <v>610</v>
      </c>
      <c r="G940">
        <v>1</v>
      </c>
      <c r="H940">
        <v>2023</v>
      </c>
      <c r="I940" t="s">
        <v>1055</v>
      </c>
    </row>
    <row r="941" spans="1:9" x14ac:dyDescent="0.3">
      <c r="A941" t="s">
        <v>10124</v>
      </c>
      <c r="B941" t="s">
        <v>79</v>
      </c>
      <c r="C941">
        <v>8989697390</v>
      </c>
      <c r="D941" s="2">
        <v>1</v>
      </c>
      <c r="E941" t="str">
        <f>"4574674200449866"</f>
        <v>4574674200449866</v>
      </c>
      <c r="F941" t="str">
        <f>"940"</f>
        <v>940</v>
      </c>
      <c r="G941">
        <v>1</v>
      </c>
      <c r="H941">
        <v>2023</v>
      </c>
      <c r="I941" t="s">
        <v>1056</v>
      </c>
    </row>
    <row r="942" spans="1:9" x14ac:dyDescent="0.3">
      <c r="A942" t="s">
        <v>10125</v>
      </c>
      <c r="B942" t="s">
        <v>80</v>
      </c>
      <c r="C942">
        <v>8989697390</v>
      </c>
      <c r="D942" s="2">
        <v>1</v>
      </c>
      <c r="E942" t="str">
        <f>"4574674200449908"</f>
        <v>4574674200449908</v>
      </c>
      <c r="F942" t="str">
        <f>"488"</f>
        <v>488</v>
      </c>
      <c r="G942">
        <v>1</v>
      </c>
      <c r="H942">
        <v>2023</v>
      </c>
      <c r="I942" t="s">
        <v>1057</v>
      </c>
    </row>
    <row r="943" spans="1:9" x14ac:dyDescent="0.3">
      <c r="A943" t="s">
        <v>10125</v>
      </c>
      <c r="B943" t="s">
        <v>80</v>
      </c>
      <c r="C943">
        <v>8989697390</v>
      </c>
      <c r="D943" s="2">
        <v>1</v>
      </c>
      <c r="E943" t="str">
        <f>"4574674200449957"</f>
        <v>4574674200449957</v>
      </c>
      <c r="F943" t="str">
        <f>"737"</f>
        <v>737</v>
      </c>
      <c r="G943">
        <v>1</v>
      </c>
      <c r="H943">
        <v>2023</v>
      </c>
      <c r="I943" t="s">
        <v>1058</v>
      </c>
    </row>
    <row r="944" spans="1:9" x14ac:dyDescent="0.3">
      <c r="A944" t="s">
        <v>10125</v>
      </c>
      <c r="B944" t="s">
        <v>80</v>
      </c>
      <c r="C944">
        <v>8989697390</v>
      </c>
      <c r="D944" s="2">
        <v>1</v>
      </c>
      <c r="E944" t="str">
        <f>"4574674200450005"</f>
        <v>4574674200450005</v>
      </c>
      <c r="F944" t="str">
        <f>"792"</f>
        <v>792</v>
      </c>
      <c r="G944">
        <v>1</v>
      </c>
      <c r="H944">
        <v>2023</v>
      </c>
      <c r="I944" t="s">
        <v>1059</v>
      </c>
    </row>
    <row r="945" spans="1:9" x14ac:dyDescent="0.3">
      <c r="A945" t="s">
        <v>10125</v>
      </c>
      <c r="B945" t="s">
        <v>80</v>
      </c>
      <c r="C945">
        <v>8989697390</v>
      </c>
      <c r="D945" s="2">
        <v>1</v>
      </c>
      <c r="E945" t="str">
        <f>"4574674200450039"</f>
        <v>4574674200450039</v>
      </c>
      <c r="F945" t="str">
        <f>"602"</f>
        <v>602</v>
      </c>
      <c r="G945">
        <v>1</v>
      </c>
      <c r="H945">
        <v>2023</v>
      </c>
      <c r="I945" t="s">
        <v>1060</v>
      </c>
    </row>
    <row r="946" spans="1:9" x14ac:dyDescent="0.3">
      <c r="A946" t="s">
        <v>10125</v>
      </c>
      <c r="B946" t="s">
        <v>80</v>
      </c>
      <c r="C946">
        <v>8989697390</v>
      </c>
      <c r="D946" s="2">
        <v>1</v>
      </c>
      <c r="E946" t="str">
        <f>"4574674200450195"</f>
        <v>4574674200450195</v>
      </c>
      <c r="F946" t="str">
        <f>"720"</f>
        <v>720</v>
      </c>
      <c r="G946">
        <v>1</v>
      </c>
      <c r="H946">
        <v>2023</v>
      </c>
      <c r="I946" t="s">
        <v>1061</v>
      </c>
    </row>
    <row r="947" spans="1:9" x14ac:dyDescent="0.3">
      <c r="A947" t="s">
        <v>10125</v>
      </c>
      <c r="B947" t="s">
        <v>80</v>
      </c>
      <c r="C947">
        <v>8989697390</v>
      </c>
      <c r="D947" s="2">
        <v>1</v>
      </c>
      <c r="E947" t="str">
        <f>"4574674200450419"</f>
        <v>4574674200450419</v>
      </c>
      <c r="F947" t="str">
        <f>"825"</f>
        <v>825</v>
      </c>
      <c r="G947">
        <v>1</v>
      </c>
      <c r="H947">
        <v>2023</v>
      </c>
      <c r="I947" t="s">
        <v>1062</v>
      </c>
    </row>
    <row r="948" spans="1:9" x14ac:dyDescent="0.3">
      <c r="A948" t="s">
        <v>10125</v>
      </c>
      <c r="B948" t="s">
        <v>80</v>
      </c>
      <c r="C948">
        <v>8989697390</v>
      </c>
      <c r="D948" s="2">
        <v>1</v>
      </c>
      <c r="E948" t="str">
        <f>"4574674200450476"</f>
        <v>4574674200450476</v>
      </c>
      <c r="F948" t="str">
        <f>"540"</f>
        <v>540</v>
      </c>
      <c r="G948">
        <v>1</v>
      </c>
      <c r="H948">
        <v>2023</v>
      </c>
      <c r="I948" t="s">
        <v>1063</v>
      </c>
    </row>
    <row r="949" spans="1:9" x14ac:dyDescent="0.3">
      <c r="A949" t="s">
        <v>10125</v>
      </c>
      <c r="B949" t="s">
        <v>80</v>
      </c>
      <c r="C949">
        <v>8989697390</v>
      </c>
      <c r="D949" s="2">
        <v>1</v>
      </c>
      <c r="E949" t="str">
        <f>"4574674200450518"</f>
        <v>4574674200450518</v>
      </c>
      <c r="F949" t="str">
        <f>"643"</f>
        <v>643</v>
      </c>
      <c r="G949">
        <v>1</v>
      </c>
      <c r="H949">
        <v>2023</v>
      </c>
      <c r="I949" t="s">
        <v>1064</v>
      </c>
    </row>
    <row r="950" spans="1:9" x14ac:dyDescent="0.3">
      <c r="A950" t="s">
        <v>10125</v>
      </c>
      <c r="B950" t="s">
        <v>80</v>
      </c>
      <c r="C950">
        <v>8989697390</v>
      </c>
      <c r="D950" s="2">
        <v>1</v>
      </c>
      <c r="E950" t="str">
        <f>"4574674200450500"</f>
        <v>4574674200450500</v>
      </c>
      <c r="F950" t="str">
        <f>"401"</f>
        <v>401</v>
      </c>
      <c r="G950">
        <v>1</v>
      </c>
      <c r="H950">
        <v>2023</v>
      </c>
      <c r="I950" t="s">
        <v>1065</v>
      </c>
    </row>
    <row r="951" spans="1:9" x14ac:dyDescent="0.3">
      <c r="A951" t="s">
        <v>10125</v>
      </c>
      <c r="B951" t="s">
        <v>80</v>
      </c>
      <c r="C951">
        <v>8989697390</v>
      </c>
      <c r="D951" s="2">
        <v>1</v>
      </c>
      <c r="E951" t="str">
        <f>"4574674200450328"</f>
        <v>4574674200450328</v>
      </c>
      <c r="F951" t="str">
        <f>"370"</f>
        <v>370</v>
      </c>
      <c r="G951">
        <v>1</v>
      </c>
      <c r="H951">
        <v>2023</v>
      </c>
      <c r="I951" t="s">
        <v>1066</v>
      </c>
    </row>
    <row r="952" spans="1:9" x14ac:dyDescent="0.3">
      <c r="A952" t="s">
        <v>10169</v>
      </c>
      <c r="B952" t="s">
        <v>70</v>
      </c>
      <c r="C952">
        <v>8989697390</v>
      </c>
      <c r="D952" s="2">
        <v>1</v>
      </c>
      <c r="E952" t="str">
        <f>"4574674200450336"</f>
        <v>4574674200450336</v>
      </c>
      <c r="F952" t="str">
        <f>"088"</f>
        <v>088</v>
      </c>
      <c r="G952">
        <v>1</v>
      </c>
      <c r="H952">
        <v>2023</v>
      </c>
      <c r="I952" t="s">
        <v>1067</v>
      </c>
    </row>
    <row r="953" spans="1:9" x14ac:dyDescent="0.3">
      <c r="A953" t="s">
        <v>10169</v>
      </c>
      <c r="B953" t="s">
        <v>70</v>
      </c>
      <c r="C953">
        <v>8989697390</v>
      </c>
      <c r="D953" s="2">
        <v>1</v>
      </c>
      <c r="E953" t="str">
        <f>"4574674200450344"</f>
        <v>4574674200450344</v>
      </c>
      <c r="F953" t="str">
        <f>"635"</f>
        <v>635</v>
      </c>
      <c r="G953">
        <v>1</v>
      </c>
      <c r="H953">
        <v>2023</v>
      </c>
      <c r="I953" t="s">
        <v>1068</v>
      </c>
    </row>
    <row r="954" spans="1:9" x14ac:dyDescent="0.3">
      <c r="A954" t="s">
        <v>10169</v>
      </c>
      <c r="B954" t="s">
        <v>70</v>
      </c>
      <c r="C954">
        <v>8989697390</v>
      </c>
      <c r="D954" s="2">
        <v>1</v>
      </c>
      <c r="E954" t="str">
        <f>"4574674200450583"</f>
        <v>4574674200450583</v>
      </c>
      <c r="F954" t="str">
        <f>"626"</f>
        <v>626</v>
      </c>
      <c r="G954">
        <v>1</v>
      </c>
      <c r="H954">
        <v>2023</v>
      </c>
      <c r="I954" t="s">
        <v>1069</v>
      </c>
    </row>
    <row r="955" spans="1:9" x14ac:dyDescent="0.3">
      <c r="A955" t="s">
        <v>10169</v>
      </c>
      <c r="B955" t="s">
        <v>70</v>
      </c>
      <c r="C955">
        <v>8989697390</v>
      </c>
      <c r="D955" s="2">
        <v>1</v>
      </c>
      <c r="E955" t="str">
        <f>"4574674200450872"</f>
        <v>4574674200450872</v>
      </c>
      <c r="F955" t="str">
        <f>"506"</f>
        <v>506</v>
      </c>
      <c r="G955">
        <v>1</v>
      </c>
      <c r="H955">
        <v>2023</v>
      </c>
      <c r="I955" t="s">
        <v>1070</v>
      </c>
    </row>
    <row r="956" spans="1:9" x14ac:dyDescent="0.3">
      <c r="A956" t="s">
        <v>10169</v>
      </c>
      <c r="B956" t="s">
        <v>70</v>
      </c>
      <c r="C956">
        <v>8989697390</v>
      </c>
      <c r="D956" s="2">
        <v>1</v>
      </c>
      <c r="E956" t="str">
        <f>"4574674200450856"</f>
        <v>4574674200450856</v>
      </c>
      <c r="F956" t="str">
        <f>"124"</f>
        <v>124</v>
      </c>
      <c r="G956">
        <v>1</v>
      </c>
      <c r="H956">
        <v>2023</v>
      </c>
      <c r="I956" t="s">
        <v>1071</v>
      </c>
    </row>
    <row r="957" spans="1:9" x14ac:dyDescent="0.3">
      <c r="A957" t="s">
        <v>10169</v>
      </c>
      <c r="B957" t="s">
        <v>70</v>
      </c>
      <c r="C957">
        <v>8989697390</v>
      </c>
      <c r="D957" s="2">
        <v>1</v>
      </c>
      <c r="E957" t="str">
        <f>"4574674200450864"</f>
        <v>4574674200450864</v>
      </c>
      <c r="F957" t="str">
        <f>"426"</f>
        <v>426</v>
      </c>
      <c r="G957">
        <v>1</v>
      </c>
      <c r="H957">
        <v>2023</v>
      </c>
      <c r="I957" t="s">
        <v>1072</v>
      </c>
    </row>
    <row r="958" spans="1:9" x14ac:dyDescent="0.3">
      <c r="A958" t="s">
        <v>10169</v>
      </c>
      <c r="B958" t="s">
        <v>70</v>
      </c>
      <c r="C958">
        <v>8989697390</v>
      </c>
      <c r="D958" s="2">
        <v>1</v>
      </c>
      <c r="E958" t="str">
        <f>"4574674200450963"</f>
        <v>4574674200450963</v>
      </c>
      <c r="F958" t="str">
        <f>"498"</f>
        <v>498</v>
      </c>
      <c r="G958">
        <v>1</v>
      </c>
      <c r="H958">
        <v>2023</v>
      </c>
      <c r="I958" t="s">
        <v>1073</v>
      </c>
    </row>
    <row r="959" spans="1:9" x14ac:dyDescent="0.3">
      <c r="A959" t="s">
        <v>10169</v>
      </c>
      <c r="B959" t="s">
        <v>70</v>
      </c>
      <c r="C959">
        <v>8989697390</v>
      </c>
      <c r="D959" s="2">
        <v>1</v>
      </c>
      <c r="E959" t="str">
        <f>"4574674200450971"</f>
        <v>4574674200450971</v>
      </c>
      <c r="F959" t="str">
        <f>"934"</f>
        <v>934</v>
      </c>
      <c r="G959">
        <v>1</v>
      </c>
      <c r="H959">
        <v>2023</v>
      </c>
      <c r="I959" t="s">
        <v>1074</v>
      </c>
    </row>
    <row r="960" spans="1:9" x14ac:dyDescent="0.3">
      <c r="A960" t="s">
        <v>10169</v>
      </c>
      <c r="B960" t="s">
        <v>70</v>
      </c>
      <c r="C960">
        <v>8989697390</v>
      </c>
      <c r="D960" s="2">
        <v>1</v>
      </c>
      <c r="E960" t="str">
        <f>"4574674200450641"</f>
        <v>4574674200450641</v>
      </c>
      <c r="F960" t="str">
        <f>"307"</f>
        <v>307</v>
      </c>
      <c r="G960">
        <v>1</v>
      </c>
      <c r="H960">
        <v>2023</v>
      </c>
      <c r="I960" t="s">
        <v>1075</v>
      </c>
    </row>
    <row r="961" spans="1:9" x14ac:dyDescent="0.3">
      <c r="A961" t="s">
        <v>10169</v>
      </c>
      <c r="B961" t="s">
        <v>70</v>
      </c>
      <c r="C961">
        <v>8989697390</v>
      </c>
      <c r="D961" s="2">
        <v>1</v>
      </c>
      <c r="E961" t="str">
        <f>"4574674200451052"</f>
        <v>4574674200451052</v>
      </c>
      <c r="F961" t="str">
        <f>"924"</f>
        <v>924</v>
      </c>
      <c r="G961">
        <v>1</v>
      </c>
      <c r="H961">
        <v>2023</v>
      </c>
      <c r="I961" t="s">
        <v>1076</v>
      </c>
    </row>
    <row r="962" spans="1:9" x14ac:dyDescent="0.3">
      <c r="A962" t="s">
        <v>10128</v>
      </c>
      <c r="B962" t="s">
        <v>71</v>
      </c>
      <c r="C962">
        <v>8989697390</v>
      </c>
      <c r="D962" s="2">
        <v>1</v>
      </c>
      <c r="E962" t="str">
        <f>"4574674200450666"</f>
        <v>4574674200450666</v>
      </c>
      <c r="F962" t="str">
        <f>"757"</f>
        <v>757</v>
      </c>
      <c r="G962">
        <v>1</v>
      </c>
      <c r="H962">
        <v>2023</v>
      </c>
      <c r="I962" t="s">
        <v>1077</v>
      </c>
    </row>
    <row r="963" spans="1:9" x14ac:dyDescent="0.3">
      <c r="A963" t="s">
        <v>10128</v>
      </c>
      <c r="B963" t="s">
        <v>71</v>
      </c>
      <c r="C963">
        <v>8989697390</v>
      </c>
      <c r="D963" s="2">
        <v>1</v>
      </c>
      <c r="E963" t="str">
        <f>"4574674200451078"</f>
        <v>4574674200451078</v>
      </c>
      <c r="F963" t="str">
        <f>"219"</f>
        <v>219</v>
      </c>
      <c r="G963">
        <v>1</v>
      </c>
      <c r="H963">
        <v>2023</v>
      </c>
      <c r="I963" t="s">
        <v>1078</v>
      </c>
    </row>
    <row r="964" spans="1:9" x14ac:dyDescent="0.3">
      <c r="A964" t="s">
        <v>10128</v>
      </c>
      <c r="B964" t="s">
        <v>71</v>
      </c>
      <c r="C964">
        <v>8989697390</v>
      </c>
      <c r="D964" s="2">
        <v>1</v>
      </c>
      <c r="E964" t="str">
        <f>"4574674200450682"</f>
        <v>4574674200450682</v>
      </c>
      <c r="F964" t="str">
        <f>"885"</f>
        <v>885</v>
      </c>
      <c r="G964">
        <v>1</v>
      </c>
      <c r="H964">
        <v>2023</v>
      </c>
      <c r="I964" t="s">
        <v>1079</v>
      </c>
    </row>
    <row r="965" spans="1:9" x14ac:dyDescent="0.3">
      <c r="A965" t="s">
        <v>10128</v>
      </c>
      <c r="B965" t="s">
        <v>71</v>
      </c>
      <c r="C965">
        <v>8989697390</v>
      </c>
      <c r="D965" s="2">
        <v>1</v>
      </c>
      <c r="E965" t="str">
        <f>"4574674200451136"</f>
        <v>4574674200451136</v>
      </c>
      <c r="F965" t="str">
        <f>"617"</f>
        <v>617</v>
      </c>
      <c r="G965">
        <v>1</v>
      </c>
      <c r="H965">
        <v>2023</v>
      </c>
      <c r="I965" t="s">
        <v>1080</v>
      </c>
    </row>
    <row r="966" spans="1:9" x14ac:dyDescent="0.3">
      <c r="A966" t="s">
        <v>10128</v>
      </c>
      <c r="B966" t="s">
        <v>71</v>
      </c>
      <c r="C966">
        <v>8989697390</v>
      </c>
      <c r="D966" s="2">
        <v>1</v>
      </c>
      <c r="E966" t="str">
        <f>"4574674200451144"</f>
        <v>4574674200451144</v>
      </c>
      <c r="F966" t="str">
        <f>"150"</f>
        <v>150</v>
      </c>
      <c r="G966">
        <v>1</v>
      </c>
      <c r="H966">
        <v>2023</v>
      </c>
      <c r="I966" t="s">
        <v>1081</v>
      </c>
    </row>
    <row r="967" spans="1:9" x14ac:dyDescent="0.3">
      <c r="A967" t="s">
        <v>10128</v>
      </c>
      <c r="B967" t="s">
        <v>71</v>
      </c>
      <c r="C967">
        <v>8989697390</v>
      </c>
      <c r="D967" s="2">
        <v>1</v>
      </c>
      <c r="E967" t="str">
        <f>"4574674200451185"</f>
        <v>4574674200451185</v>
      </c>
      <c r="F967" t="str">
        <f>"146"</f>
        <v>146</v>
      </c>
      <c r="G967">
        <v>1</v>
      </c>
      <c r="H967">
        <v>2023</v>
      </c>
      <c r="I967" t="s">
        <v>1082</v>
      </c>
    </row>
    <row r="968" spans="1:9" x14ac:dyDescent="0.3">
      <c r="A968" t="s">
        <v>10128</v>
      </c>
      <c r="B968" t="s">
        <v>71</v>
      </c>
      <c r="C968">
        <v>8989697390</v>
      </c>
      <c r="D968" s="2">
        <v>1</v>
      </c>
      <c r="E968" t="str">
        <f>"4574674200450765"</f>
        <v>4574674200450765</v>
      </c>
      <c r="F968" t="str">
        <f>"410"</f>
        <v>410</v>
      </c>
      <c r="G968">
        <v>1</v>
      </c>
      <c r="H968">
        <v>2023</v>
      </c>
      <c r="I968" t="s">
        <v>1083</v>
      </c>
    </row>
    <row r="969" spans="1:9" x14ac:dyDescent="0.3">
      <c r="A969" t="s">
        <v>10128</v>
      </c>
      <c r="B969" t="s">
        <v>71</v>
      </c>
      <c r="C969">
        <v>8989697390</v>
      </c>
      <c r="D969" s="2">
        <v>1</v>
      </c>
      <c r="E969" t="str">
        <f>"4574674200451300"</f>
        <v>4574674200451300</v>
      </c>
      <c r="F969" t="str">
        <f>"995"</f>
        <v>995</v>
      </c>
      <c r="G969">
        <v>1</v>
      </c>
      <c r="H969">
        <v>2023</v>
      </c>
      <c r="I969" t="s">
        <v>1084</v>
      </c>
    </row>
    <row r="970" spans="1:9" x14ac:dyDescent="0.3">
      <c r="A970" t="s">
        <v>10128</v>
      </c>
      <c r="B970" t="s">
        <v>71</v>
      </c>
      <c r="C970">
        <v>8989697390</v>
      </c>
      <c r="D970" s="2">
        <v>1</v>
      </c>
      <c r="E970" t="str">
        <f>"4574674200451318"</f>
        <v>4574674200451318</v>
      </c>
      <c r="F970" t="str">
        <f>"713"</f>
        <v>713</v>
      </c>
      <c r="G970">
        <v>1</v>
      </c>
      <c r="H970">
        <v>2023</v>
      </c>
      <c r="I970" t="s">
        <v>1085</v>
      </c>
    </row>
    <row r="971" spans="1:9" x14ac:dyDescent="0.3">
      <c r="A971" t="s">
        <v>10128</v>
      </c>
      <c r="B971" t="s">
        <v>71</v>
      </c>
      <c r="C971">
        <v>8989697390</v>
      </c>
      <c r="D971" s="2">
        <v>1</v>
      </c>
      <c r="E971" t="str">
        <f>"4574674200451334"</f>
        <v>4574674200451334</v>
      </c>
      <c r="F971" t="str">
        <f>"932"</f>
        <v>932</v>
      </c>
      <c r="G971">
        <v>1</v>
      </c>
      <c r="H971">
        <v>2023</v>
      </c>
      <c r="I971" t="s">
        <v>1086</v>
      </c>
    </row>
    <row r="972" spans="1:9" x14ac:dyDescent="0.3">
      <c r="A972" t="s">
        <v>10129</v>
      </c>
      <c r="B972" t="s">
        <v>72</v>
      </c>
      <c r="C972">
        <v>8989697390</v>
      </c>
      <c r="D972" s="2">
        <v>1</v>
      </c>
      <c r="E972" t="str">
        <f>"4574674200451359"</f>
        <v>4574674200451359</v>
      </c>
      <c r="F972" t="str">
        <f>"317"</f>
        <v>317</v>
      </c>
      <c r="G972">
        <v>1</v>
      </c>
      <c r="H972">
        <v>2023</v>
      </c>
      <c r="I972" t="s">
        <v>1087</v>
      </c>
    </row>
    <row r="973" spans="1:9" x14ac:dyDescent="0.3">
      <c r="A973" t="s">
        <v>10129</v>
      </c>
      <c r="B973" t="s">
        <v>72</v>
      </c>
      <c r="C973">
        <v>8989697390</v>
      </c>
      <c r="D973" s="2">
        <v>1</v>
      </c>
      <c r="E973" t="str">
        <f>"4574674200451417"</f>
        <v>4574674200451417</v>
      </c>
      <c r="F973" t="str">
        <f>"849"</f>
        <v>849</v>
      </c>
      <c r="G973">
        <v>1</v>
      </c>
      <c r="H973">
        <v>2023</v>
      </c>
      <c r="I973" t="s">
        <v>1088</v>
      </c>
    </row>
    <row r="974" spans="1:9" x14ac:dyDescent="0.3">
      <c r="A974" t="s">
        <v>10129</v>
      </c>
      <c r="B974" t="s">
        <v>72</v>
      </c>
      <c r="C974">
        <v>8989697390</v>
      </c>
      <c r="D974" s="2">
        <v>1</v>
      </c>
      <c r="E974" t="str">
        <f>"4574674200451425"</f>
        <v>4574674200451425</v>
      </c>
      <c r="F974" t="str">
        <f>"515"</f>
        <v>515</v>
      </c>
      <c r="G974">
        <v>1</v>
      </c>
      <c r="H974">
        <v>2023</v>
      </c>
      <c r="I974" t="s">
        <v>1089</v>
      </c>
    </row>
    <row r="975" spans="1:9" x14ac:dyDescent="0.3">
      <c r="A975" t="s">
        <v>10129</v>
      </c>
      <c r="B975" t="s">
        <v>72</v>
      </c>
      <c r="C975">
        <v>8989697390</v>
      </c>
      <c r="D975" s="2">
        <v>1</v>
      </c>
      <c r="E975" t="str">
        <f>"4574674200451383"</f>
        <v>4574674200451383</v>
      </c>
      <c r="F975" t="str">
        <f>"844"</f>
        <v>844</v>
      </c>
      <c r="G975">
        <v>1</v>
      </c>
      <c r="H975">
        <v>2023</v>
      </c>
      <c r="I975" t="s">
        <v>1090</v>
      </c>
    </row>
    <row r="976" spans="1:9" x14ac:dyDescent="0.3">
      <c r="A976" t="s">
        <v>10129</v>
      </c>
      <c r="B976" t="s">
        <v>72</v>
      </c>
      <c r="C976">
        <v>8989697390</v>
      </c>
      <c r="D976" s="2">
        <v>1</v>
      </c>
      <c r="E976" t="str">
        <f>"4574674200451680"</f>
        <v>4574674200451680</v>
      </c>
      <c r="F976" t="str">
        <f>"018"</f>
        <v>018</v>
      </c>
      <c r="G976">
        <v>1</v>
      </c>
      <c r="H976">
        <v>2023</v>
      </c>
      <c r="I976" t="s">
        <v>1091</v>
      </c>
    </row>
    <row r="977" spans="1:9" x14ac:dyDescent="0.3">
      <c r="A977" t="s">
        <v>10129</v>
      </c>
      <c r="B977" t="s">
        <v>72</v>
      </c>
      <c r="C977">
        <v>8989697390</v>
      </c>
      <c r="D977" s="2">
        <v>1</v>
      </c>
      <c r="E977" t="str">
        <f>"4574674200451706"</f>
        <v>4574674200451706</v>
      </c>
      <c r="F977" t="str">
        <f>"777"</f>
        <v>777</v>
      </c>
      <c r="G977">
        <v>1</v>
      </c>
      <c r="H977">
        <v>2023</v>
      </c>
      <c r="I977" t="s">
        <v>1092</v>
      </c>
    </row>
    <row r="978" spans="1:9" x14ac:dyDescent="0.3">
      <c r="A978" t="s">
        <v>10129</v>
      </c>
      <c r="B978" t="s">
        <v>72</v>
      </c>
      <c r="C978">
        <v>8989697390</v>
      </c>
      <c r="D978" s="2">
        <v>1</v>
      </c>
      <c r="E978" t="str">
        <f>"4574674200451490"</f>
        <v>4574674200451490</v>
      </c>
      <c r="F978" t="str">
        <f>"814"</f>
        <v>814</v>
      </c>
      <c r="G978">
        <v>1</v>
      </c>
      <c r="H978">
        <v>2023</v>
      </c>
      <c r="I978" t="s">
        <v>1093</v>
      </c>
    </row>
    <row r="979" spans="1:9" x14ac:dyDescent="0.3">
      <c r="A979" t="s">
        <v>10129</v>
      </c>
      <c r="B979" t="s">
        <v>72</v>
      </c>
      <c r="C979">
        <v>8989697390</v>
      </c>
      <c r="D979" s="2">
        <v>1</v>
      </c>
      <c r="E979" t="str">
        <f>"4574674200451722"</f>
        <v>4574674200451722</v>
      </c>
      <c r="F979" t="str">
        <f>"881"</f>
        <v>881</v>
      </c>
      <c r="G979">
        <v>1</v>
      </c>
      <c r="H979">
        <v>2023</v>
      </c>
      <c r="I979" t="s">
        <v>1094</v>
      </c>
    </row>
    <row r="980" spans="1:9" x14ac:dyDescent="0.3">
      <c r="A980" t="s">
        <v>10129</v>
      </c>
      <c r="B980" t="s">
        <v>72</v>
      </c>
      <c r="C980">
        <v>8989697390</v>
      </c>
      <c r="D980" s="2">
        <v>1</v>
      </c>
      <c r="E980" t="str">
        <f>"4574674200451748"</f>
        <v>4574674200451748</v>
      </c>
      <c r="F980" t="str">
        <f>"821"</f>
        <v>821</v>
      </c>
      <c r="G980">
        <v>1</v>
      </c>
      <c r="H980">
        <v>2023</v>
      </c>
      <c r="I980" t="s">
        <v>1095</v>
      </c>
    </row>
    <row r="981" spans="1:9" x14ac:dyDescent="0.3">
      <c r="A981" t="s">
        <v>10129</v>
      </c>
      <c r="B981" t="s">
        <v>72</v>
      </c>
      <c r="C981">
        <v>8989697390</v>
      </c>
      <c r="D981" s="2">
        <v>1</v>
      </c>
      <c r="E981" t="str">
        <f>"4574674200451789"</f>
        <v>4574674200451789</v>
      </c>
      <c r="F981" t="str">
        <f>"987"</f>
        <v>987</v>
      </c>
      <c r="G981">
        <v>1</v>
      </c>
      <c r="H981">
        <v>2023</v>
      </c>
      <c r="I981" t="s">
        <v>1096</v>
      </c>
    </row>
    <row r="982" spans="1:9" x14ac:dyDescent="0.3">
      <c r="A982" t="s">
        <v>10170</v>
      </c>
      <c r="B982" t="s">
        <v>73</v>
      </c>
      <c r="C982">
        <v>8989697390</v>
      </c>
      <c r="D982" s="2">
        <v>1</v>
      </c>
      <c r="E982" t="str">
        <f>"4574674200451524"</f>
        <v>4574674200451524</v>
      </c>
      <c r="F982" t="str">
        <f>"293"</f>
        <v>293</v>
      </c>
      <c r="G982">
        <v>1</v>
      </c>
      <c r="H982">
        <v>2023</v>
      </c>
      <c r="I982" t="s">
        <v>1097</v>
      </c>
    </row>
    <row r="983" spans="1:9" x14ac:dyDescent="0.3">
      <c r="A983" t="s">
        <v>10170</v>
      </c>
      <c r="B983" t="s">
        <v>73</v>
      </c>
      <c r="C983">
        <v>8989697390</v>
      </c>
      <c r="D983" s="2">
        <v>1</v>
      </c>
      <c r="E983" t="str">
        <f>"4574674200451854"</f>
        <v>4574674200451854</v>
      </c>
      <c r="F983" t="str">
        <f>"237"</f>
        <v>237</v>
      </c>
      <c r="G983">
        <v>1</v>
      </c>
      <c r="H983">
        <v>2023</v>
      </c>
      <c r="I983" t="s">
        <v>1098</v>
      </c>
    </row>
    <row r="984" spans="1:9" x14ac:dyDescent="0.3">
      <c r="A984" t="s">
        <v>10170</v>
      </c>
      <c r="B984" t="s">
        <v>73</v>
      </c>
      <c r="C984">
        <v>8989697390</v>
      </c>
      <c r="D984" s="2">
        <v>1</v>
      </c>
      <c r="E984" t="str">
        <f>"4574674200451557"</f>
        <v>4574674200451557</v>
      </c>
      <c r="F984" t="str">
        <f>"560"</f>
        <v>560</v>
      </c>
      <c r="G984">
        <v>1</v>
      </c>
      <c r="H984">
        <v>2023</v>
      </c>
      <c r="I984" t="s">
        <v>1099</v>
      </c>
    </row>
    <row r="985" spans="1:9" x14ac:dyDescent="0.3">
      <c r="A985" t="s">
        <v>10170</v>
      </c>
      <c r="B985" t="s">
        <v>73</v>
      </c>
      <c r="C985">
        <v>8989697390</v>
      </c>
      <c r="D985" s="2">
        <v>1</v>
      </c>
      <c r="E985" t="str">
        <f>"4574674200451888"</f>
        <v>4574674200451888</v>
      </c>
      <c r="F985" t="str">
        <f>"970"</f>
        <v>970</v>
      </c>
      <c r="G985">
        <v>1</v>
      </c>
      <c r="H985">
        <v>2023</v>
      </c>
      <c r="I985" t="s">
        <v>1100</v>
      </c>
    </row>
    <row r="986" spans="1:9" x14ac:dyDescent="0.3">
      <c r="A986" t="s">
        <v>10170</v>
      </c>
      <c r="B986" t="s">
        <v>73</v>
      </c>
      <c r="C986">
        <v>8989697390</v>
      </c>
      <c r="D986" s="2">
        <v>1</v>
      </c>
      <c r="E986" t="str">
        <f>"4574674200451896"</f>
        <v>4574674200451896</v>
      </c>
      <c r="F986" t="str">
        <f>"942"</f>
        <v>942</v>
      </c>
      <c r="G986">
        <v>1</v>
      </c>
      <c r="H986">
        <v>2023</v>
      </c>
      <c r="I986" t="s">
        <v>1101</v>
      </c>
    </row>
    <row r="987" spans="1:9" x14ac:dyDescent="0.3">
      <c r="A987" t="s">
        <v>10170</v>
      </c>
      <c r="B987" t="s">
        <v>73</v>
      </c>
      <c r="C987">
        <v>8989697390</v>
      </c>
      <c r="D987" s="2">
        <v>1</v>
      </c>
      <c r="E987" t="str">
        <f>"4574674200451995"</f>
        <v>4574674200451995</v>
      </c>
      <c r="F987" t="str">
        <f>"188"</f>
        <v>188</v>
      </c>
      <c r="G987">
        <v>1</v>
      </c>
      <c r="H987">
        <v>2023</v>
      </c>
      <c r="I987" t="s">
        <v>1102</v>
      </c>
    </row>
    <row r="988" spans="1:9" x14ac:dyDescent="0.3">
      <c r="A988" t="s">
        <v>10170</v>
      </c>
      <c r="B988" t="s">
        <v>73</v>
      </c>
      <c r="C988">
        <v>8989697390</v>
      </c>
      <c r="D988" s="2">
        <v>1</v>
      </c>
      <c r="E988" t="str">
        <f>"4574674200452001"</f>
        <v>4574674200452001</v>
      </c>
      <c r="F988" t="str">
        <f>"517"</f>
        <v>517</v>
      </c>
      <c r="G988">
        <v>1</v>
      </c>
      <c r="H988">
        <v>2023</v>
      </c>
      <c r="I988" t="s">
        <v>1103</v>
      </c>
    </row>
    <row r="989" spans="1:9" x14ac:dyDescent="0.3">
      <c r="A989" t="s">
        <v>10170</v>
      </c>
      <c r="B989" t="s">
        <v>73</v>
      </c>
      <c r="C989">
        <v>8989697390</v>
      </c>
      <c r="D989" s="2">
        <v>1</v>
      </c>
      <c r="E989" t="str">
        <f>"4574674200452209"</f>
        <v>4574674200452209</v>
      </c>
      <c r="F989" t="str">
        <f>"545"</f>
        <v>545</v>
      </c>
      <c r="G989">
        <v>1</v>
      </c>
      <c r="H989">
        <v>2023</v>
      </c>
      <c r="I989" t="s">
        <v>1104</v>
      </c>
    </row>
    <row r="990" spans="1:9" x14ac:dyDescent="0.3">
      <c r="A990" t="s">
        <v>10170</v>
      </c>
      <c r="B990" t="s">
        <v>73</v>
      </c>
      <c r="C990">
        <v>8989697390</v>
      </c>
      <c r="D990" s="2">
        <v>1</v>
      </c>
      <c r="E990" t="str">
        <f>"4574674200452027"</f>
        <v>4574674200452027</v>
      </c>
      <c r="F990" t="str">
        <f>"787"</f>
        <v>787</v>
      </c>
      <c r="G990">
        <v>1</v>
      </c>
      <c r="H990">
        <v>2023</v>
      </c>
      <c r="I990" t="s">
        <v>1105</v>
      </c>
    </row>
    <row r="991" spans="1:9" x14ac:dyDescent="0.3">
      <c r="A991" t="s">
        <v>10170</v>
      </c>
      <c r="B991" t="s">
        <v>73</v>
      </c>
      <c r="C991">
        <v>8989697390</v>
      </c>
      <c r="D991" s="2">
        <v>1</v>
      </c>
      <c r="E991" t="str">
        <f>"4574674200452068"</f>
        <v>4574674200452068</v>
      </c>
      <c r="F991" t="str">
        <f>"330"</f>
        <v>330</v>
      </c>
      <c r="G991">
        <v>1</v>
      </c>
      <c r="H991">
        <v>2023</v>
      </c>
      <c r="I991" t="s">
        <v>1106</v>
      </c>
    </row>
    <row r="992" spans="1:9" x14ac:dyDescent="0.3">
      <c r="A992" t="s">
        <v>10171</v>
      </c>
      <c r="B992" t="s">
        <v>74</v>
      </c>
      <c r="C992">
        <v>8989697390</v>
      </c>
      <c r="D992" s="2">
        <v>1</v>
      </c>
      <c r="E992" t="str">
        <f>"4574674200452118"</f>
        <v>4574674200452118</v>
      </c>
      <c r="F992" t="str">
        <f>"233"</f>
        <v>233</v>
      </c>
      <c r="G992">
        <v>1</v>
      </c>
      <c r="H992">
        <v>2023</v>
      </c>
      <c r="I992" t="s">
        <v>1107</v>
      </c>
    </row>
    <row r="993" spans="1:9" x14ac:dyDescent="0.3">
      <c r="A993" t="s">
        <v>10171</v>
      </c>
      <c r="B993" t="s">
        <v>74</v>
      </c>
      <c r="C993">
        <v>8989697390</v>
      </c>
      <c r="D993" s="2">
        <v>1</v>
      </c>
      <c r="E993" t="str">
        <f>"4574674200452233"</f>
        <v>4574674200452233</v>
      </c>
      <c r="F993" t="str">
        <f>"469"</f>
        <v>469</v>
      </c>
      <c r="G993">
        <v>1</v>
      </c>
      <c r="H993">
        <v>2023</v>
      </c>
      <c r="I993" t="s">
        <v>1108</v>
      </c>
    </row>
    <row r="994" spans="1:9" x14ac:dyDescent="0.3">
      <c r="A994" t="s">
        <v>10171</v>
      </c>
      <c r="B994" t="s">
        <v>74</v>
      </c>
      <c r="C994">
        <v>8989697390</v>
      </c>
      <c r="D994" s="2">
        <v>1</v>
      </c>
      <c r="E994" t="str">
        <f>"4574674200452258"</f>
        <v>4574674200452258</v>
      </c>
      <c r="F994" t="str">
        <f>"719"</f>
        <v>719</v>
      </c>
      <c r="G994">
        <v>1</v>
      </c>
      <c r="H994">
        <v>2023</v>
      </c>
      <c r="I994" t="s">
        <v>1109</v>
      </c>
    </row>
    <row r="995" spans="1:9" x14ac:dyDescent="0.3">
      <c r="A995" t="s">
        <v>10171</v>
      </c>
      <c r="B995" t="s">
        <v>74</v>
      </c>
      <c r="C995">
        <v>8989697390</v>
      </c>
      <c r="D995" s="2">
        <v>1</v>
      </c>
      <c r="E995" t="str">
        <f>"4574674200452175"</f>
        <v>4574674200452175</v>
      </c>
      <c r="F995" t="str">
        <f>"228"</f>
        <v>228</v>
      </c>
      <c r="G995">
        <v>1</v>
      </c>
      <c r="H995">
        <v>2023</v>
      </c>
      <c r="I995" t="s">
        <v>1110</v>
      </c>
    </row>
    <row r="996" spans="1:9" x14ac:dyDescent="0.3">
      <c r="A996" t="s">
        <v>10171</v>
      </c>
      <c r="B996" t="s">
        <v>74</v>
      </c>
      <c r="C996">
        <v>8989697390</v>
      </c>
      <c r="D996" s="2">
        <v>1</v>
      </c>
      <c r="E996" t="str">
        <f>"4574674200452407"</f>
        <v>4574674200452407</v>
      </c>
      <c r="F996" t="str">
        <f>"939"</f>
        <v>939</v>
      </c>
      <c r="G996">
        <v>1</v>
      </c>
      <c r="H996">
        <v>2023</v>
      </c>
      <c r="I996" t="s">
        <v>1111</v>
      </c>
    </row>
    <row r="997" spans="1:9" x14ac:dyDescent="0.3">
      <c r="A997" t="s">
        <v>10171</v>
      </c>
      <c r="B997" t="s">
        <v>74</v>
      </c>
      <c r="C997">
        <v>8989697390</v>
      </c>
      <c r="D997" s="2">
        <v>1</v>
      </c>
      <c r="E997" t="str">
        <f>"4574674200452415"</f>
        <v>4574674200452415</v>
      </c>
      <c r="F997" t="str">
        <f>"156"</f>
        <v>156</v>
      </c>
      <c r="G997">
        <v>1</v>
      </c>
      <c r="H997">
        <v>2023</v>
      </c>
      <c r="I997" t="s">
        <v>1112</v>
      </c>
    </row>
    <row r="998" spans="1:9" x14ac:dyDescent="0.3">
      <c r="A998" t="s">
        <v>10171</v>
      </c>
      <c r="B998" t="s">
        <v>74</v>
      </c>
      <c r="C998">
        <v>8989697390</v>
      </c>
      <c r="D998" s="2">
        <v>1</v>
      </c>
      <c r="E998" t="str">
        <f>"4574674200452498"</f>
        <v>4574674200452498</v>
      </c>
      <c r="F998" t="str">
        <f>"827"</f>
        <v>827</v>
      </c>
      <c r="G998">
        <v>1</v>
      </c>
      <c r="H998">
        <v>2023</v>
      </c>
      <c r="I998" t="s">
        <v>1113</v>
      </c>
    </row>
    <row r="999" spans="1:9" x14ac:dyDescent="0.3">
      <c r="A999" t="s">
        <v>10171</v>
      </c>
      <c r="B999" t="s">
        <v>74</v>
      </c>
      <c r="C999">
        <v>8989697390</v>
      </c>
      <c r="D999" s="2">
        <v>1</v>
      </c>
      <c r="E999" t="str">
        <f>"4574674200452332"</f>
        <v>4574674200452332</v>
      </c>
      <c r="F999" t="str">
        <f>"689"</f>
        <v>689</v>
      </c>
      <c r="G999">
        <v>1</v>
      </c>
      <c r="H999">
        <v>2023</v>
      </c>
      <c r="I999" t="s">
        <v>1114</v>
      </c>
    </row>
    <row r="1000" spans="1:9" x14ac:dyDescent="0.3">
      <c r="A1000" t="s">
        <v>10171</v>
      </c>
      <c r="B1000" t="s">
        <v>74</v>
      </c>
      <c r="C1000">
        <v>8989697390</v>
      </c>
      <c r="D1000" s="2">
        <v>1</v>
      </c>
      <c r="E1000" t="str">
        <f>"4574674200452530"</f>
        <v>4574674200452530</v>
      </c>
      <c r="F1000" t="str">
        <f>"263"</f>
        <v>263</v>
      </c>
      <c r="G1000">
        <v>1</v>
      </c>
      <c r="H1000">
        <v>2023</v>
      </c>
      <c r="I1000" t="s">
        <v>1115</v>
      </c>
    </row>
    <row r="1001" spans="1:9" x14ac:dyDescent="0.3">
      <c r="A1001" t="s">
        <v>10171</v>
      </c>
      <c r="B1001" t="s">
        <v>74</v>
      </c>
      <c r="C1001">
        <v>8989697390</v>
      </c>
      <c r="D1001" s="2">
        <v>1</v>
      </c>
      <c r="E1001" t="str">
        <f>"4574674200452365"</f>
        <v>4574674200452365</v>
      </c>
      <c r="F1001" t="str">
        <f>"377"</f>
        <v>377</v>
      </c>
      <c r="G1001">
        <v>1</v>
      </c>
      <c r="H1001">
        <v>2023</v>
      </c>
      <c r="I1001" t="s">
        <v>1116</v>
      </c>
    </row>
    <row r="1002" spans="1:9" x14ac:dyDescent="0.3">
      <c r="A1002" t="s">
        <v>10136</v>
      </c>
      <c r="B1002" t="s">
        <v>81</v>
      </c>
      <c r="C1002">
        <v>9406582649</v>
      </c>
      <c r="D1002" s="2">
        <v>1</v>
      </c>
      <c r="E1002" t="str">
        <f>"4574674200452605"</f>
        <v>4574674200452605</v>
      </c>
      <c r="F1002" t="str">
        <f>"602"</f>
        <v>602</v>
      </c>
      <c r="G1002">
        <v>1</v>
      </c>
      <c r="H1002">
        <v>2023</v>
      </c>
      <c r="I1002" t="s">
        <v>1117</v>
      </c>
    </row>
    <row r="1003" spans="1:9" x14ac:dyDescent="0.3">
      <c r="A1003" t="s">
        <v>10136</v>
      </c>
      <c r="B1003" t="s">
        <v>81</v>
      </c>
      <c r="C1003">
        <v>9406582649</v>
      </c>
      <c r="D1003" s="2">
        <v>1</v>
      </c>
      <c r="E1003" t="str">
        <f>"4574674200452829"</f>
        <v>4574674200452829</v>
      </c>
      <c r="F1003" t="str">
        <f>"019"</f>
        <v>019</v>
      </c>
      <c r="G1003">
        <v>1</v>
      </c>
      <c r="H1003">
        <v>2023</v>
      </c>
      <c r="I1003" t="s">
        <v>1118</v>
      </c>
    </row>
    <row r="1004" spans="1:9" x14ac:dyDescent="0.3">
      <c r="A1004" t="s">
        <v>10136</v>
      </c>
      <c r="B1004" t="s">
        <v>81</v>
      </c>
      <c r="C1004">
        <v>9406582649</v>
      </c>
      <c r="D1004" s="2">
        <v>1</v>
      </c>
      <c r="E1004" t="str">
        <f>"4574674200452563"</f>
        <v>4574674200452563</v>
      </c>
      <c r="F1004" t="str">
        <f>"075"</f>
        <v>075</v>
      </c>
      <c r="G1004">
        <v>1</v>
      </c>
      <c r="H1004">
        <v>2023</v>
      </c>
      <c r="I1004" t="s">
        <v>1119</v>
      </c>
    </row>
    <row r="1005" spans="1:9" x14ac:dyDescent="0.3">
      <c r="A1005" t="s">
        <v>10136</v>
      </c>
      <c r="B1005" t="s">
        <v>81</v>
      </c>
      <c r="C1005">
        <v>9406582649</v>
      </c>
      <c r="D1005" s="2">
        <v>1</v>
      </c>
      <c r="E1005" t="str">
        <f>"4574674200452860"</f>
        <v>4574674200452860</v>
      </c>
      <c r="F1005" t="str">
        <f>"198"</f>
        <v>198</v>
      </c>
      <c r="G1005">
        <v>1</v>
      </c>
      <c r="H1005">
        <v>2023</v>
      </c>
      <c r="I1005" t="s">
        <v>1120</v>
      </c>
    </row>
    <row r="1006" spans="1:9" x14ac:dyDescent="0.3">
      <c r="A1006" t="s">
        <v>10136</v>
      </c>
      <c r="B1006" t="s">
        <v>81</v>
      </c>
      <c r="C1006">
        <v>9406582649</v>
      </c>
      <c r="D1006" s="2">
        <v>1</v>
      </c>
      <c r="E1006" t="str">
        <f>"4574674200452878"</f>
        <v>4574674200452878</v>
      </c>
      <c r="F1006" t="str">
        <f>"440"</f>
        <v>440</v>
      </c>
      <c r="G1006">
        <v>1</v>
      </c>
      <c r="H1006">
        <v>2023</v>
      </c>
      <c r="I1006" t="s">
        <v>1121</v>
      </c>
    </row>
    <row r="1007" spans="1:9" x14ac:dyDescent="0.3">
      <c r="A1007" t="s">
        <v>10136</v>
      </c>
      <c r="B1007" t="s">
        <v>81</v>
      </c>
      <c r="C1007">
        <v>9406582649</v>
      </c>
      <c r="D1007" s="2">
        <v>1</v>
      </c>
      <c r="E1007" t="str">
        <f>"4574674200452662"</f>
        <v>4574674200452662</v>
      </c>
      <c r="F1007" t="str">
        <f>"547"</f>
        <v>547</v>
      </c>
      <c r="G1007">
        <v>1</v>
      </c>
      <c r="H1007">
        <v>2023</v>
      </c>
      <c r="I1007" t="s">
        <v>1122</v>
      </c>
    </row>
    <row r="1008" spans="1:9" x14ac:dyDescent="0.3">
      <c r="A1008" t="s">
        <v>10136</v>
      </c>
      <c r="B1008" t="s">
        <v>81</v>
      </c>
      <c r="C1008">
        <v>9406582649</v>
      </c>
      <c r="D1008" s="2">
        <v>1</v>
      </c>
      <c r="E1008" t="str">
        <f>"4574674200452936"</f>
        <v>4574674200452936</v>
      </c>
      <c r="F1008" t="str">
        <f>"383"</f>
        <v>383</v>
      </c>
      <c r="G1008">
        <v>1</v>
      </c>
      <c r="H1008">
        <v>2023</v>
      </c>
      <c r="I1008" t="s">
        <v>1123</v>
      </c>
    </row>
    <row r="1009" spans="1:9" x14ac:dyDescent="0.3">
      <c r="A1009" t="s">
        <v>10136</v>
      </c>
      <c r="B1009" t="s">
        <v>81</v>
      </c>
      <c r="C1009">
        <v>9406582649</v>
      </c>
      <c r="D1009" s="2">
        <v>1</v>
      </c>
      <c r="E1009" t="str">
        <f>"4574674200452977"</f>
        <v>4574674200452977</v>
      </c>
      <c r="F1009" t="str">
        <f>"834"</f>
        <v>834</v>
      </c>
      <c r="G1009">
        <v>1</v>
      </c>
      <c r="H1009">
        <v>2023</v>
      </c>
      <c r="I1009" t="s">
        <v>1124</v>
      </c>
    </row>
    <row r="1010" spans="1:9" x14ac:dyDescent="0.3">
      <c r="A1010" t="s">
        <v>10136</v>
      </c>
      <c r="B1010" t="s">
        <v>81</v>
      </c>
      <c r="C1010">
        <v>9406582649</v>
      </c>
      <c r="D1010" s="2">
        <v>1</v>
      </c>
      <c r="E1010" t="str">
        <f>"4574674200452993"</f>
        <v>4574674200452993</v>
      </c>
      <c r="F1010" t="str">
        <f>"443"</f>
        <v>443</v>
      </c>
      <c r="G1010">
        <v>1</v>
      </c>
      <c r="H1010">
        <v>2023</v>
      </c>
      <c r="I1010" t="s">
        <v>1125</v>
      </c>
    </row>
    <row r="1011" spans="1:9" x14ac:dyDescent="0.3">
      <c r="A1011" t="s">
        <v>10136</v>
      </c>
      <c r="B1011" t="s">
        <v>81</v>
      </c>
      <c r="C1011">
        <v>9406582649</v>
      </c>
      <c r="D1011" s="2">
        <v>1</v>
      </c>
      <c r="E1011" t="str">
        <f>"4574674200453009"</f>
        <v>4574674200453009</v>
      </c>
      <c r="F1011" t="str">
        <f>"205"</f>
        <v>205</v>
      </c>
      <c r="G1011">
        <v>1</v>
      </c>
      <c r="H1011">
        <v>2023</v>
      </c>
      <c r="I1011" t="s">
        <v>1126</v>
      </c>
    </row>
    <row r="1012" spans="1:9" x14ac:dyDescent="0.3">
      <c r="A1012" t="s">
        <v>10137</v>
      </c>
      <c r="B1012" t="s">
        <v>82</v>
      </c>
      <c r="C1012">
        <v>9406582649</v>
      </c>
      <c r="D1012" s="2">
        <v>1</v>
      </c>
      <c r="E1012" t="str">
        <f>"4574674200452696"</f>
        <v>4574674200452696</v>
      </c>
      <c r="F1012" t="str">
        <f>"684"</f>
        <v>684</v>
      </c>
      <c r="G1012">
        <v>1</v>
      </c>
      <c r="H1012">
        <v>2023</v>
      </c>
      <c r="I1012" t="s">
        <v>1127</v>
      </c>
    </row>
    <row r="1013" spans="1:9" x14ac:dyDescent="0.3">
      <c r="A1013" t="s">
        <v>10137</v>
      </c>
      <c r="B1013" t="s">
        <v>82</v>
      </c>
      <c r="C1013">
        <v>9406582649</v>
      </c>
      <c r="D1013" s="2">
        <v>1</v>
      </c>
      <c r="E1013" t="str">
        <f>"4574674200452738"</f>
        <v>4574674200452738</v>
      </c>
      <c r="F1013" t="str">
        <f>"030"</f>
        <v>030</v>
      </c>
      <c r="G1013">
        <v>1</v>
      </c>
      <c r="H1013">
        <v>2023</v>
      </c>
      <c r="I1013" t="s">
        <v>1128</v>
      </c>
    </row>
    <row r="1014" spans="1:9" x14ac:dyDescent="0.3">
      <c r="A1014" t="s">
        <v>10137</v>
      </c>
      <c r="B1014" t="s">
        <v>82</v>
      </c>
      <c r="C1014">
        <v>9406582649</v>
      </c>
      <c r="D1014" s="2">
        <v>1</v>
      </c>
      <c r="E1014" t="str">
        <f>"4574674200453132"</f>
        <v>4574674200453132</v>
      </c>
      <c r="F1014" t="str">
        <f>"732"</f>
        <v>732</v>
      </c>
      <c r="G1014">
        <v>1</v>
      </c>
      <c r="H1014">
        <v>2023</v>
      </c>
      <c r="I1014" t="s">
        <v>1129</v>
      </c>
    </row>
    <row r="1015" spans="1:9" x14ac:dyDescent="0.3">
      <c r="A1015" t="s">
        <v>10137</v>
      </c>
      <c r="B1015" t="s">
        <v>82</v>
      </c>
      <c r="C1015">
        <v>9406582649</v>
      </c>
      <c r="D1015" s="2">
        <v>1</v>
      </c>
      <c r="E1015" t="str">
        <f>"4574674200453140"</f>
        <v>4574674200453140</v>
      </c>
      <c r="F1015" t="str">
        <f>"874"</f>
        <v>874</v>
      </c>
      <c r="G1015">
        <v>1</v>
      </c>
      <c r="H1015">
        <v>2023</v>
      </c>
      <c r="I1015" t="s">
        <v>1130</v>
      </c>
    </row>
    <row r="1016" spans="1:9" x14ac:dyDescent="0.3">
      <c r="A1016" t="s">
        <v>10137</v>
      </c>
      <c r="B1016" t="s">
        <v>82</v>
      </c>
      <c r="C1016">
        <v>9406582649</v>
      </c>
      <c r="D1016" s="2">
        <v>1</v>
      </c>
      <c r="E1016" t="str">
        <f>"4574674200453157"</f>
        <v>4574674200453157</v>
      </c>
      <c r="F1016" t="str">
        <f>"058"</f>
        <v>058</v>
      </c>
      <c r="G1016">
        <v>1</v>
      </c>
      <c r="H1016">
        <v>2023</v>
      </c>
      <c r="I1016" t="s">
        <v>1131</v>
      </c>
    </row>
    <row r="1017" spans="1:9" x14ac:dyDescent="0.3">
      <c r="A1017" t="s">
        <v>10137</v>
      </c>
      <c r="B1017" t="s">
        <v>82</v>
      </c>
      <c r="C1017">
        <v>9406582649</v>
      </c>
      <c r="D1017" s="2">
        <v>1</v>
      </c>
      <c r="E1017" t="str">
        <f>"4574674200453165"</f>
        <v>4574674200453165</v>
      </c>
      <c r="F1017" t="str">
        <f>"952"</f>
        <v>952</v>
      </c>
      <c r="G1017">
        <v>1</v>
      </c>
      <c r="H1017">
        <v>2023</v>
      </c>
      <c r="I1017" t="s">
        <v>1132</v>
      </c>
    </row>
    <row r="1018" spans="1:9" x14ac:dyDescent="0.3">
      <c r="A1018" t="s">
        <v>10137</v>
      </c>
      <c r="B1018" t="s">
        <v>82</v>
      </c>
      <c r="C1018">
        <v>9406582649</v>
      </c>
      <c r="D1018" s="2">
        <v>1</v>
      </c>
      <c r="E1018" t="str">
        <f>"4574674200452779"</f>
        <v>4574674200452779</v>
      </c>
      <c r="F1018" t="str">
        <f>"960"</f>
        <v>960</v>
      </c>
      <c r="G1018">
        <v>1</v>
      </c>
      <c r="H1018">
        <v>2023</v>
      </c>
      <c r="I1018" t="s">
        <v>1133</v>
      </c>
    </row>
    <row r="1019" spans="1:9" x14ac:dyDescent="0.3">
      <c r="A1019" t="s">
        <v>10137</v>
      </c>
      <c r="B1019" t="s">
        <v>82</v>
      </c>
      <c r="C1019">
        <v>9406582649</v>
      </c>
      <c r="D1019" s="2">
        <v>1</v>
      </c>
      <c r="E1019" t="str">
        <f>"4574674200452795"</f>
        <v>4574674200452795</v>
      </c>
      <c r="F1019" t="str">
        <f>"620"</f>
        <v>620</v>
      </c>
      <c r="G1019">
        <v>1</v>
      </c>
      <c r="H1019">
        <v>2023</v>
      </c>
      <c r="I1019" t="s">
        <v>1134</v>
      </c>
    </row>
    <row r="1020" spans="1:9" x14ac:dyDescent="0.3">
      <c r="A1020" t="s">
        <v>10137</v>
      </c>
      <c r="B1020" t="s">
        <v>82</v>
      </c>
      <c r="C1020">
        <v>9406582649</v>
      </c>
      <c r="D1020" s="2">
        <v>1</v>
      </c>
      <c r="E1020" t="str">
        <f>"4574674200453272"</f>
        <v>4574674200453272</v>
      </c>
      <c r="F1020" t="str">
        <f>"600"</f>
        <v>600</v>
      </c>
      <c r="G1020">
        <v>1</v>
      </c>
      <c r="H1020">
        <v>2023</v>
      </c>
      <c r="I1020" t="s">
        <v>1135</v>
      </c>
    </row>
    <row r="1021" spans="1:9" x14ac:dyDescent="0.3">
      <c r="A1021" t="s">
        <v>10137</v>
      </c>
      <c r="B1021" t="s">
        <v>82</v>
      </c>
      <c r="C1021">
        <v>9406582649</v>
      </c>
      <c r="D1021" s="2">
        <v>1</v>
      </c>
      <c r="E1021" t="str">
        <f>"4574674200453264"</f>
        <v>4574674200453264</v>
      </c>
      <c r="F1021" t="str">
        <f>"106"</f>
        <v>106</v>
      </c>
      <c r="G1021">
        <v>1</v>
      </c>
      <c r="H1021">
        <v>2023</v>
      </c>
      <c r="I1021" t="s">
        <v>1136</v>
      </c>
    </row>
    <row r="1022" spans="1:9" x14ac:dyDescent="0.3">
      <c r="A1022" t="s">
        <v>10138</v>
      </c>
      <c r="B1022" t="s">
        <v>83</v>
      </c>
      <c r="C1022">
        <v>9406582649</v>
      </c>
      <c r="D1022" s="2">
        <v>1</v>
      </c>
      <c r="E1022" t="str">
        <f>"4574674200453298"</f>
        <v>4574674200453298</v>
      </c>
      <c r="F1022" t="str">
        <f>"999"</f>
        <v>999</v>
      </c>
      <c r="G1022">
        <v>1</v>
      </c>
      <c r="H1022">
        <v>2023</v>
      </c>
      <c r="I1022" t="s">
        <v>1137</v>
      </c>
    </row>
    <row r="1023" spans="1:9" x14ac:dyDescent="0.3">
      <c r="A1023" t="s">
        <v>10138</v>
      </c>
      <c r="B1023" t="s">
        <v>83</v>
      </c>
      <c r="C1023">
        <v>9406582649</v>
      </c>
      <c r="D1023" s="2">
        <v>1</v>
      </c>
      <c r="E1023" t="str">
        <f>"4574674200453314"</f>
        <v>4574674200453314</v>
      </c>
      <c r="F1023" t="str">
        <f>"258"</f>
        <v>258</v>
      </c>
      <c r="G1023">
        <v>1</v>
      </c>
      <c r="H1023">
        <v>2023</v>
      </c>
      <c r="I1023" t="s">
        <v>1138</v>
      </c>
    </row>
    <row r="1024" spans="1:9" x14ac:dyDescent="0.3">
      <c r="A1024" t="s">
        <v>10138</v>
      </c>
      <c r="B1024" t="s">
        <v>83</v>
      </c>
      <c r="C1024">
        <v>9406582649</v>
      </c>
      <c r="D1024" s="2">
        <v>1</v>
      </c>
      <c r="E1024" t="str">
        <f>"4574674200453439"</f>
        <v>4574674200453439</v>
      </c>
      <c r="F1024" t="str">
        <f>"925"</f>
        <v>925</v>
      </c>
      <c r="G1024">
        <v>1</v>
      </c>
      <c r="H1024">
        <v>2023</v>
      </c>
      <c r="I1024" t="s">
        <v>1139</v>
      </c>
    </row>
    <row r="1025" spans="1:9" x14ac:dyDescent="0.3">
      <c r="A1025" t="s">
        <v>10138</v>
      </c>
      <c r="B1025" t="s">
        <v>83</v>
      </c>
      <c r="C1025">
        <v>9406582649</v>
      </c>
      <c r="D1025" s="2">
        <v>1</v>
      </c>
      <c r="E1025" t="str">
        <f>"4574674200453611"</f>
        <v>4574674200453611</v>
      </c>
      <c r="F1025" t="str">
        <f>"494"</f>
        <v>494</v>
      </c>
      <c r="G1025">
        <v>1</v>
      </c>
      <c r="H1025">
        <v>2023</v>
      </c>
      <c r="I1025" t="s">
        <v>1140</v>
      </c>
    </row>
    <row r="1026" spans="1:9" x14ac:dyDescent="0.3">
      <c r="A1026" t="s">
        <v>10138</v>
      </c>
      <c r="B1026" t="s">
        <v>83</v>
      </c>
      <c r="C1026">
        <v>9406582649</v>
      </c>
      <c r="D1026" s="2">
        <v>1</v>
      </c>
      <c r="E1026" t="str">
        <f>"4574674200453645"</f>
        <v>4574674200453645</v>
      </c>
      <c r="F1026" t="str">
        <f>"228"</f>
        <v>228</v>
      </c>
      <c r="G1026">
        <v>1</v>
      </c>
      <c r="H1026">
        <v>2023</v>
      </c>
      <c r="I1026" t="s">
        <v>1141</v>
      </c>
    </row>
    <row r="1027" spans="1:9" x14ac:dyDescent="0.3">
      <c r="A1027" t="s">
        <v>10138</v>
      </c>
      <c r="B1027" t="s">
        <v>83</v>
      </c>
      <c r="C1027">
        <v>9406582649</v>
      </c>
      <c r="D1027" s="2">
        <v>1</v>
      </c>
      <c r="E1027" t="str">
        <f>"4574674200453660"</f>
        <v>4574674200453660</v>
      </c>
      <c r="F1027" t="str">
        <f>"852"</f>
        <v>852</v>
      </c>
      <c r="G1027">
        <v>1</v>
      </c>
      <c r="H1027">
        <v>2023</v>
      </c>
      <c r="I1027" t="s">
        <v>1142</v>
      </c>
    </row>
    <row r="1028" spans="1:9" x14ac:dyDescent="0.3">
      <c r="A1028" t="s">
        <v>10138</v>
      </c>
      <c r="B1028" t="s">
        <v>83</v>
      </c>
      <c r="C1028">
        <v>9406582649</v>
      </c>
      <c r="D1028" s="2">
        <v>1</v>
      </c>
      <c r="E1028" t="str">
        <f>"4574674200453686"</f>
        <v>4574674200453686</v>
      </c>
      <c r="F1028" t="str">
        <f>"927"</f>
        <v>927</v>
      </c>
      <c r="G1028">
        <v>1</v>
      </c>
      <c r="H1028">
        <v>2023</v>
      </c>
      <c r="I1028" t="s">
        <v>1143</v>
      </c>
    </row>
    <row r="1029" spans="1:9" x14ac:dyDescent="0.3">
      <c r="A1029" t="s">
        <v>10138</v>
      </c>
      <c r="B1029" t="s">
        <v>83</v>
      </c>
      <c r="C1029">
        <v>9406582649</v>
      </c>
      <c r="D1029" s="2">
        <v>1</v>
      </c>
      <c r="E1029" t="str">
        <f>"4574674200453496"</f>
        <v>4574674200453496</v>
      </c>
      <c r="F1029" t="str">
        <f>"492"</f>
        <v>492</v>
      </c>
      <c r="G1029">
        <v>1</v>
      </c>
      <c r="H1029">
        <v>2023</v>
      </c>
      <c r="I1029" t="s">
        <v>1144</v>
      </c>
    </row>
    <row r="1030" spans="1:9" x14ac:dyDescent="0.3">
      <c r="A1030" t="s">
        <v>10138</v>
      </c>
      <c r="B1030" t="s">
        <v>83</v>
      </c>
      <c r="C1030">
        <v>9406582649</v>
      </c>
      <c r="D1030" s="2">
        <v>1</v>
      </c>
      <c r="E1030" t="str">
        <f>"4574674200453512"</f>
        <v>4574674200453512</v>
      </c>
      <c r="F1030" t="str">
        <f>"508"</f>
        <v>508</v>
      </c>
      <c r="G1030">
        <v>1</v>
      </c>
      <c r="H1030">
        <v>2023</v>
      </c>
      <c r="I1030" t="s">
        <v>1145</v>
      </c>
    </row>
    <row r="1031" spans="1:9" x14ac:dyDescent="0.3">
      <c r="A1031" t="s">
        <v>10138</v>
      </c>
      <c r="B1031" t="s">
        <v>83</v>
      </c>
      <c r="C1031">
        <v>9406582649</v>
      </c>
      <c r="D1031" s="2">
        <v>1</v>
      </c>
      <c r="E1031" t="str">
        <f>"4574674200453793"</f>
        <v>4574674200453793</v>
      </c>
      <c r="F1031" t="str">
        <f>"691"</f>
        <v>691</v>
      </c>
      <c r="G1031">
        <v>1</v>
      </c>
      <c r="H1031">
        <v>2023</v>
      </c>
      <c r="I1031" t="s">
        <v>1146</v>
      </c>
    </row>
    <row r="1032" spans="1:9" x14ac:dyDescent="0.3">
      <c r="A1032" t="s">
        <v>10139</v>
      </c>
      <c r="B1032" t="s">
        <v>84</v>
      </c>
      <c r="C1032">
        <v>9406582649</v>
      </c>
      <c r="D1032" s="2">
        <v>1</v>
      </c>
      <c r="E1032" t="str">
        <f>"4574674200453801"</f>
        <v>4574674200453801</v>
      </c>
      <c r="F1032" t="str">
        <f>"890"</f>
        <v>890</v>
      </c>
      <c r="G1032">
        <v>1</v>
      </c>
      <c r="H1032">
        <v>2023</v>
      </c>
      <c r="I1032" t="s">
        <v>1147</v>
      </c>
    </row>
    <row r="1033" spans="1:9" x14ac:dyDescent="0.3">
      <c r="A1033" t="s">
        <v>10139</v>
      </c>
      <c r="B1033" t="s">
        <v>84</v>
      </c>
      <c r="C1033">
        <v>9406582649</v>
      </c>
      <c r="D1033" s="2">
        <v>1</v>
      </c>
      <c r="E1033" t="str">
        <f>"4574674200453819"</f>
        <v>4574674200453819</v>
      </c>
      <c r="F1033" t="str">
        <f>"553"</f>
        <v>553</v>
      </c>
      <c r="G1033">
        <v>1</v>
      </c>
      <c r="H1033">
        <v>2023</v>
      </c>
      <c r="I1033" t="s">
        <v>1148</v>
      </c>
    </row>
    <row r="1034" spans="1:9" x14ac:dyDescent="0.3">
      <c r="A1034" t="s">
        <v>10139</v>
      </c>
      <c r="B1034" t="s">
        <v>84</v>
      </c>
      <c r="C1034">
        <v>9406582649</v>
      </c>
      <c r="D1034" s="2">
        <v>1</v>
      </c>
      <c r="E1034" t="str">
        <f>"4574674200453579"</f>
        <v>4574674200453579</v>
      </c>
      <c r="F1034" t="str">
        <f>"736"</f>
        <v>736</v>
      </c>
      <c r="G1034">
        <v>1</v>
      </c>
      <c r="H1034">
        <v>2023</v>
      </c>
      <c r="I1034" t="s">
        <v>1149</v>
      </c>
    </row>
    <row r="1035" spans="1:9" x14ac:dyDescent="0.3">
      <c r="A1035" t="s">
        <v>10139</v>
      </c>
      <c r="B1035" t="s">
        <v>84</v>
      </c>
      <c r="C1035">
        <v>9406582649</v>
      </c>
      <c r="D1035" s="2">
        <v>1</v>
      </c>
      <c r="E1035" t="str">
        <f>"4574674200453843"</f>
        <v>4574674200453843</v>
      </c>
      <c r="F1035" t="str">
        <f>"623"</f>
        <v>623</v>
      </c>
      <c r="G1035">
        <v>1</v>
      </c>
      <c r="H1035">
        <v>2023</v>
      </c>
      <c r="I1035" t="s">
        <v>1150</v>
      </c>
    </row>
    <row r="1036" spans="1:9" x14ac:dyDescent="0.3">
      <c r="A1036" t="s">
        <v>10139</v>
      </c>
      <c r="B1036" t="s">
        <v>84</v>
      </c>
      <c r="C1036">
        <v>9406582649</v>
      </c>
      <c r="D1036" s="2">
        <v>1</v>
      </c>
      <c r="E1036" t="str">
        <f>"4574674200453942"</f>
        <v>4574674200453942</v>
      </c>
      <c r="F1036" t="str">
        <f>"733"</f>
        <v>733</v>
      </c>
      <c r="G1036">
        <v>1</v>
      </c>
      <c r="H1036">
        <v>2023</v>
      </c>
      <c r="I1036" t="s">
        <v>1151</v>
      </c>
    </row>
    <row r="1037" spans="1:9" x14ac:dyDescent="0.3">
      <c r="A1037" t="s">
        <v>10139</v>
      </c>
      <c r="B1037" t="s">
        <v>84</v>
      </c>
      <c r="C1037">
        <v>9406582649</v>
      </c>
      <c r="D1037" s="2">
        <v>1</v>
      </c>
      <c r="E1037" t="str">
        <f>"4574674200453967"</f>
        <v>4574674200453967</v>
      </c>
      <c r="F1037" t="str">
        <f>"260"</f>
        <v>260</v>
      </c>
      <c r="G1037">
        <v>1</v>
      </c>
      <c r="H1037">
        <v>2023</v>
      </c>
      <c r="I1037" t="s">
        <v>1152</v>
      </c>
    </row>
    <row r="1038" spans="1:9" x14ac:dyDescent="0.3">
      <c r="A1038" t="s">
        <v>10139</v>
      </c>
      <c r="B1038" t="s">
        <v>84</v>
      </c>
      <c r="C1038">
        <v>9406582649</v>
      </c>
      <c r="D1038" s="2">
        <v>1</v>
      </c>
      <c r="E1038" t="str">
        <f>"4574674200454015"</f>
        <v>4574674200454015</v>
      </c>
      <c r="F1038" t="str">
        <f>"349"</f>
        <v>349</v>
      </c>
      <c r="G1038">
        <v>1</v>
      </c>
      <c r="H1038">
        <v>2023</v>
      </c>
      <c r="I1038" t="s">
        <v>1153</v>
      </c>
    </row>
    <row r="1039" spans="1:9" x14ac:dyDescent="0.3">
      <c r="A1039" t="s">
        <v>10139</v>
      </c>
      <c r="B1039" t="s">
        <v>84</v>
      </c>
      <c r="C1039">
        <v>9406582649</v>
      </c>
      <c r="D1039" s="2">
        <v>1</v>
      </c>
      <c r="E1039" t="str">
        <f>"4574674200454023"</f>
        <v>4574674200454023</v>
      </c>
      <c r="F1039" t="str">
        <f>"663"</f>
        <v>663</v>
      </c>
      <c r="G1039">
        <v>1</v>
      </c>
      <c r="H1039">
        <v>2023</v>
      </c>
      <c r="I1039" t="s">
        <v>1154</v>
      </c>
    </row>
    <row r="1040" spans="1:9" x14ac:dyDescent="0.3">
      <c r="A1040" t="s">
        <v>10139</v>
      </c>
      <c r="B1040" t="s">
        <v>84</v>
      </c>
      <c r="C1040">
        <v>9406582649</v>
      </c>
      <c r="D1040" s="2">
        <v>1</v>
      </c>
      <c r="E1040" t="str">
        <f>"4574674200453991"</f>
        <v>4574674200453991</v>
      </c>
      <c r="F1040" t="str">
        <f>"984"</f>
        <v>984</v>
      </c>
      <c r="G1040">
        <v>1</v>
      </c>
      <c r="H1040">
        <v>2023</v>
      </c>
      <c r="I1040" t="s">
        <v>1155</v>
      </c>
    </row>
    <row r="1041" spans="1:9" x14ac:dyDescent="0.3">
      <c r="A1041" t="s">
        <v>10139</v>
      </c>
      <c r="B1041" t="s">
        <v>84</v>
      </c>
      <c r="C1041">
        <v>9406582649</v>
      </c>
      <c r="D1041" s="2">
        <v>1</v>
      </c>
      <c r="E1041" t="str">
        <f>"4574674200454205"</f>
        <v>4574674200454205</v>
      </c>
      <c r="F1041" t="str">
        <f>"315"</f>
        <v>315</v>
      </c>
      <c r="G1041">
        <v>1</v>
      </c>
      <c r="H1041">
        <v>2023</v>
      </c>
      <c r="I1041" t="s">
        <v>1156</v>
      </c>
    </row>
    <row r="1042" spans="1:9" x14ac:dyDescent="0.3">
      <c r="A1042" t="s">
        <v>10138</v>
      </c>
      <c r="B1042" t="s">
        <v>83</v>
      </c>
      <c r="C1042">
        <v>9406582649</v>
      </c>
      <c r="D1042" s="2">
        <v>1</v>
      </c>
      <c r="E1042" t="str">
        <f>"4574674200454270"</f>
        <v>4574674200454270</v>
      </c>
      <c r="F1042" t="str">
        <f>"676"</f>
        <v>676</v>
      </c>
      <c r="G1042">
        <v>1</v>
      </c>
      <c r="H1042">
        <v>2023</v>
      </c>
      <c r="I1042" t="s">
        <v>1157</v>
      </c>
    </row>
    <row r="1043" spans="1:9" x14ac:dyDescent="0.3">
      <c r="A1043" t="s">
        <v>10138</v>
      </c>
      <c r="B1043" t="s">
        <v>83</v>
      </c>
      <c r="C1043">
        <v>9406582649</v>
      </c>
      <c r="D1043" s="2">
        <v>1</v>
      </c>
      <c r="E1043" t="str">
        <f>"4574674200454320"</f>
        <v>4574674200454320</v>
      </c>
      <c r="F1043" t="str">
        <f>"873"</f>
        <v>873</v>
      </c>
      <c r="G1043">
        <v>1</v>
      </c>
      <c r="H1043">
        <v>2023</v>
      </c>
      <c r="I1043" t="s">
        <v>1158</v>
      </c>
    </row>
    <row r="1044" spans="1:9" x14ac:dyDescent="0.3">
      <c r="A1044" t="s">
        <v>10138</v>
      </c>
      <c r="B1044" t="s">
        <v>83</v>
      </c>
      <c r="C1044">
        <v>9406582649</v>
      </c>
      <c r="D1044" s="2">
        <v>1</v>
      </c>
      <c r="E1044" t="str">
        <f>"4574674200454106"</f>
        <v>4574674200454106</v>
      </c>
      <c r="F1044" t="str">
        <f>"899"</f>
        <v>899</v>
      </c>
      <c r="G1044">
        <v>1</v>
      </c>
      <c r="H1044">
        <v>2023</v>
      </c>
      <c r="I1044" t="s">
        <v>1159</v>
      </c>
    </row>
    <row r="1045" spans="1:9" x14ac:dyDescent="0.3">
      <c r="A1045" t="s">
        <v>10138</v>
      </c>
      <c r="B1045" t="s">
        <v>83</v>
      </c>
      <c r="C1045">
        <v>9406582649</v>
      </c>
      <c r="D1045" s="2">
        <v>1</v>
      </c>
      <c r="E1045" t="str">
        <f>"4574674200454353"</f>
        <v>4574674200454353</v>
      </c>
      <c r="F1045" t="str">
        <f>"377"</f>
        <v>377</v>
      </c>
      <c r="G1045">
        <v>1</v>
      </c>
      <c r="H1045">
        <v>2023</v>
      </c>
      <c r="I1045" t="s">
        <v>1160</v>
      </c>
    </row>
    <row r="1046" spans="1:9" x14ac:dyDescent="0.3">
      <c r="A1046" t="s">
        <v>10138</v>
      </c>
      <c r="B1046" t="s">
        <v>83</v>
      </c>
      <c r="C1046">
        <v>9406582649</v>
      </c>
      <c r="D1046" s="2">
        <v>1</v>
      </c>
      <c r="E1046" t="str">
        <f>"4574674200454361"</f>
        <v>4574674200454361</v>
      </c>
      <c r="F1046" t="str">
        <f>"671"</f>
        <v>671</v>
      </c>
      <c r="G1046">
        <v>1</v>
      </c>
      <c r="H1046">
        <v>2023</v>
      </c>
      <c r="I1046" t="s">
        <v>1161</v>
      </c>
    </row>
    <row r="1047" spans="1:9" x14ac:dyDescent="0.3">
      <c r="A1047" t="s">
        <v>10138</v>
      </c>
      <c r="B1047" t="s">
        <v>83</v>
      </c>
      <c r="C1047">
        <v>9406582649</v>
      </c>
      <c r="D1047" s="2">
        <v>1</v>
      </c>
      <c r="E1047" t="str">
        <f>"4574674200454130"</f>
        <v>4574674200454130</v>
      </c>
      <c r="F1047" t="str">
        <f>"258"</f>
        <v>258</v>
      </c>
      <c r="G1047">
        <v>1</v>
      </c>
      <c r="H1047">
        <v>2023</v>
      </c>
      <c r="I1047" t="s">
        <v>1162</v>
      </c>
    </row>
    <row r="1048" spans="1:9" x14ac:dyDescent="0.3">
      <c r="A1048" t="s">
        <v>10138</v>
      </c>
      <c r="B1048" t="s">
        <v>83</v>
      </c>
      <c r="C1048">
        <v>9406582649</v>
      </c>
      <c r="D1048" s="2">
        <v>1</v>
      </c>
      <c r="E1048" t="str">
        <f>"4574674200454148"</f>
        <v>4574674200454148</v>
      </c>
      <c r="F1048" t="str">
        <f>"403"</f>
        <v>403</v>
      </c>
      <c r="G1048">
        <v>1</v>
      </c>
      <c r="H1048">
        <v>2023</v>
      </c>
      <c r="I1048" t="s">
        <v>1163</v>
      </c>
    </row>
    <row r="1049" spans="1:9" x14ac:dyDescent="0.3">
      <c r="A1049" t="s">
        <v>10138</v>
      </c>
      <c r="B1049" t="s">
        <v>83</v>
      </c>
      <c r="C1049">
        <v>9406582649</v>
      </c>
      <c r="D1049" s="2">
        <v>1</v>
      </c>
      <c r="E1049" t="str">
        <f>"4574674200454486"</f>
        <v>4574674200454486</v>
      </c>
      <c r="F1049" t="str">
        <f>"472"</f>
        <v>472</v>
      </c>
      <c r="G1049">
        <v>1</v>
      </c>
      <c r="H1049">
        <v>2023</v>
      </c>
      <c r="I1049" t="s">
        <v>1164</v>
      </c>
    </row>
    <row r="1050" spans="1:9" x14ac:dyDescent="0.3">
      <c r="A1050" t="s">
        <v>10138</v>
      </c>
      <c r="B1050" t="s">
        <v>83</v>
      </c>
      <c r="C1050">
        <v>9406582649</v>
      </c>
      <c r="D1050" s="2">
        <v>1</v>
      </c>
      <c r="E1050" t="str">
        <f>"4574674200454478"</f>
        <v>4574674200454478</v>
      </c>
      <c r="F1050" t="str">
        <f>"837"</f>
        <v>837</v>
      </c>
      <c r="G1050">
        <v>1</v>
      </c>
      <c r="H1050">
        <v>2023</v>
      </c>
      <c r="I1050" t="s">
        <v>1165</v>
      </c>
    </row>
    <row r="1051" spans="1:9" x14ac:dyDescent="0.3">
      <c r="A1051" t="s">
        <v>10138</v>
      </c>
      <c r="B1051" t="s">
        <v>83</v>
      </c>
      <c r="C1051">
        <v>9406582649</v>
      </c>
      <c r="D1051" s="2">
        <v>1</v>
      </c>
      <c r="E1051" t="str">
        <f>"4574674200454528"</f>
        <v>4574674200454528</v>
      </c>
      <c r="F1051" t="str">
        <f>"204"</f>
        <v>204</v>
      </c>
      <c r="G1051">
        <v>1</v>
      </c>
      <c r="H1051">
        <v>2023</v>
      </c>
      <c r="I1051" t="s">
        <v>1166</v>
      </c>
    </row>
    <row r="1052" spans="1:9" x14ac:dyDescent="0.3">
      <c r="A1052" t="s">
        <v>10140</v>
      </c>
      <c r="B1052" t="s">
        <v>85</v>
      </c>
      <c r="C1052">
        <v>9406582649</v>
      </c>
      <c r="D1052" s="2">
        <v>1</v>
      </c>
      <c r="E1052" t="str">
        <f>"4574674200454544"</f>
        <v>4574674200454544</v>
      </c>
      <c r="F1052" t="str">
        <f>"182"</f>
        <v>182</v>
      </c>
      <c r="G1052">
        <v>1</v>
      </c>
      <c r="H1052">
        <v>2023</v>
      </c>
      <c r="I1052" t="s">
        <v>1167</v>
      </c>
    </row>
    <row r="1053" spans="1:9" x14ac:dyDescent="0.3">
      <c r="A1053" t="s">
        <v>10140</v>
      </c>
      <c r="B1053" t="s">
        <v>85</v>
      </c>
      <c r="C1053">
        <v>9406582649</v>
      </c>
      <c r="D1053" s="2">
        <v>1</v>
      </c>
      <c r="E1053" t="str">
        <f>"4574674200454627"</f>
        <v>4574674200454627</v>
      </c>
      <c r="F1053" t="str">
        <f>"302"</f>
        <v>302</v>
      </c>
      <c r="G1053">
        <v>1</v>
      </c>
      <c r="H1053">
        <v>2023</v>
      </c>
      <c r="I1053" t="s">
        <v>1168</v>
      </c>
    </row>
    <row r="1054" spans="1:9" x14ac:dyDescent="0.3">
      <c r="A1054" t="s">
        <v>10140</v>
      </c>
      <c r="B1054" t="s">
        <v>85</v>
      </c>
      <c r="C1054">
        <v>9406582649</v>
      </c>
      <c r="D1054" s="2">
        <v>1</v>
      </c>
      <c r="E1054" t="str">
        <f>"4574674200454841"</f>
        <v>4574674200454841</v>
      </c>
      <c r="F1054" t="str">
        <f>"917"</f>
        <v>917</v>
      </c>
      <c r="G1054">
        <v>1</v>
      </c>
      <c r="H1054">
        <v>2023</v>
      </c>
      <c r="I1054" t="s">
        <v>1169</v>
      </c>
    </row>
    <row r="1055" spans="1:9" x14ac:dyDescent="0.3">
      <c r="A1055" t="s">
        <v>10140</v>
      </c>
      <c r="B1055" t="s">
        <v>85</v>
      </c>
      <c r="C1055">
        <v>9406582649</v>
      </c>
      <c r="D1055" s="2">
        <v>1</v>
      </c>
      <c r="E1055" t="str">
        <f>"4574674200454833"</f>
        <v>4574674200454833</v>
      </c>
      <c r="F1055" t="str">
        <f>"810"</f>
        <v>810</v>
      </c>
      <c r="G1055">
        <v>1</v>
      </c>
      <c r="H1055">
        <v>2023</v>
      </c>
      <c r="I1055" t="s">
        <v>1170</v>
      </c>
    </row>
    <row r="1056" spans="1:9" x14ac:dyDescent="0.3">
      <c r="A1056" t="s">
        <v>10140</v>
      </c>
      <c r="B1056" t="s">
        <v>85</v>
      </c>
      <c r="C1056">
        <v>9406582649</v>
      </c>
      <c r="D1056" s="2">
        <v>1</v>
      </c>
      <c r="E1056" t="str">
        <f>"4574674200454650"</f>
        <v>4574674200454650</v>
      </c>
      <c r="F1056" t="str">
        <f>"902"</f>
        <v>902</v>
      </c>
      <c r="G1056">
        <v>1</v>
      </c>
      <c r="H1056">
        <v>2023</v>
      </c>
      <c r="I1056" t="s">
        <v>1171</v>
      </c>
    </row>
    <row r="1057" spans="1:9" x14ac:dyDescent="0.3">
      <c r="A1057" t="s">
        <v>10140</v>
      </c>
      <c r="B1057" t="s">
        <v>85</v>
      </c>
      <c r="C1057">
        <v>9406582649</v>
      </c>
      <c r="D1057" s="2">
        <v>1</v>
      </c>
      <c r="E1057" t="str">
        <f>"4574674200454874"</f>
        <v>4574674200454874</v>
      </c>
      <c r="F1057" t="str">
        <f>"909"</f>
        <v>909</v>
      </c>
      <c r="G1057">
        <v>1</v>
      </c>
      <c r="H1057">
        <v>2023</v>
      </c>
      <c r="I1057" t="s">
        <v>1172</v>
      </c>
    </row>
    <row r="1058" spans="1:9" x14ac:dyDescent="0.3">
      <c r="A1058" t="s">
        <v>10140</v>
      </c>
      <c r="B1058" t="s">
        <v>85</v>
      </c>
      <c r="C1058">
        <v>9406582649</v>
      </c>
      <c r="D1058" s="2">
        <v>1</v>
      </c>
      <c r="E1058" t="str">
        <f>"4574674200454908"</f>
        <v>4574674200454908</v>
      </c>
      <c r="F1058" t="str">
        <f>"932"</f>
        <v>932</v>
      </c>
      <c r="G1058">
        <v>1</v>
      </c>
      <c r="H1058">
        <v>2023</v>
      </c>
      <c r="I1058" t="s">
        <v>1173</v>
      </c>
    </row>
    <row r="1059" spans="1:9" x14ac:dyDescent="0.3">
      <c r="A1059" t="s">
        <v>10140</v>
      </c>
      <c r="B1059" t="s">
        <v>85</v>
      </c>
      <c r="C1059">
        <v>9406582649</v>
      </c>
      <c r="D1059" s="2">
        <v>1</v>
      </c>
      <c r="E1059" t="str">
        <f>"4574674200454668"</f>
        <v>4574674200454668</v>
      </c>
      <c r="F1059" t="str">
        <f>"318"</f>
        <v>318</v>
      </c>
      <c r="G1059">
        <v>1</v>
      </c>
      <c r="H1059">
        <v>2023</v>
      </c>
      <c r="I1059" t="s">
        <v>1174</v>
      </c>
    </row>
    <row r="1060" spans="1:9" x14ac:dyDescent="0.3">
      <c r="A1060" t="s">
        <v>10140</v>
      </c>
      <c r="B1060" t="s">
        <v>85</v>
      </c>
      <c r="C1060">
        <v>9406582649</v>
      </c>
      <c r="D1060" s="2">
        <v>1</v>
      </c>
      <c r="E1060" t="str">
        <f>"4574674200454973"</f>
        <v>4574674200454973</v>
      </c>
      <c r="F1060" t="str">
        <f>"918"</f>
        <v>918</v>
      </c>
      <c r="G1060">
        <v>1</v>
      </c>
      <c r="H1060">
        <v>2023</v>
      </c>
      <c r="I1060" t="s">
        <v>1175</v>
      </c>
    </row>
    <row r="1061" spans="1:9" x14ac:dyDescent="0.3">
      <c r="A1061" t="s">
        <v>10140</v>
      </c>
      <c r="B1061" t="s">
        <v>85</v>
      </c>
      <c r="C1061">
        <v>9406582649</v>
      </c>
      <c r="D1061" s="2">
        <v>1</v>
      </c>
      <c r="E1061" t="str">
        <f>"4574674200454981"</f>
        <v>4574674200454981</v>
      </c>
      <c r="F1061" t="str">
        <f>"733"</f>
        <v>733</v>
      </c>
      <c r="G1061">
        <v>1</v>
      </c>
      <c r="H1061">
        <v>2023</v>
      </c>
      <c r="I1061" t="s">
        <v>1176</v>
      </c>
    </row>
    <row r="1062" spans="1:9" x14ac:dyDescent="0.3">
      <c r="A1062" t="s">
        <v>10141</v>
      </c>
      <c r="B1062" t="s">
        <v>86</v>
      </c>
      <c r="C1062">
        <v>9406582649</v>
      </c>
      <c r="D1062" s="2">
        <v>1</v>
      </c>
      <c r="E1062" t="str">
        <f>"4574674200455012"</f>
        <v>4574674200455012</v>
      </c>
      <c r="F1062" t="str">
        <f>"926"</f>
        <v>926</v>
      </c>
      <c r="G1062">
        <v>1</v>
      </c>
      <c r="H1062">
        <v>2023</v>
      </c>
      <c r="I1062" t="s">
        <v>1177</v>
      </c>
    </row>
    <row r="1063" spans="1:9" x14ac:dyDescent="0.3">
      <c r="A1063" t="s">
        <v>10141</v>
      </c>
      <c r="B1063" t="s">
        <v>86</v>
      </c>
      <c r="C1063">
        <v>9406582649</v>
      </c>
      <c r="D1063" s="2">
        <v>1</v>
      </c>
      <c r="E1063" t="str">
        <f>"4574674200455053"</f>
        <v>4574674200455053</v>
      </c>
      <c r="F1063" t="str">
        <f>"340"</f>
        <v>340</v>
      </c>
      <c r="G1063">
        <v>1</v>
      </c>
      <c r="H1063">
        <v>2023</v>
      </c>
      <c r="I1063" t="s">
        <v>1178</v>
      </c>
    </row>
    <row r="1064" spans="1:9" x14ac:dyDescent="0.3">
      <c r="A1064" t="s">
        <v>10141</v>
      </c>
      <c r="B1064" t="s">
        <v>86</v>
      </c>
      <c r="C1064">
        <v>9406582649</v>
      </c>
      <c r="D1064" s="2">
        <v>1</v>
      </c>
      <c r="E1064" t="str">
        <f>"4574674200454742"</f>
        <v>4574674200454742</v>
      </c>
      <c r="F1064" t="str">
        <f>"172"</f>
        <v>172</v>
      </c>
      <c r="G1064">
        <v>1</v>
      </c>
      <c r="H1064">
        <v>2023</v>
      </c>
      <c r="I1064" t="s">
        <v>1179</v>
      </c>
    </row>
    <row r="1065" spans="1:9" x14ac:dyDescent="0.3">
      <c r="A1065" t="s">
        <v>10141</v>
      </c>
      <c r="B1065" t="s">
        <v>86</v>
      </c>
      <c r="C1065">
        <v>9406582649</v>
      </c>
      <c r="D1065" s="2">
        <v>1</v>
      </c>
      <c r="E1065" t="str">
        <f>"4574674200454775"</f>
        <v>4574674200454775</v>
      </c>
      <c r="F1065" t="str">
        <f>"588"</f>
        <v>588</v>
      </c>
      <c r="G1065">
        <v>1</v>
      </c>
      <c r="H1065">
        <v>2023</v>
      </c>
      <c r="I1065" t="s">
        <v>1180</v>
      </c>
    </row>
    <row r="1066" spans="1:9" x14ac:dyDescent="0.3">
      <c r="A1066" t="s">
        <v>10141</v>
      </c>
      <c r="B1066" t="s">
        <v>86</v>
      </c>
      <c r="C1066">
        <v>9406582649</v>
      </c>
      <c r="D1066" s="2">
        <v>1</v>
      </c>
      <c r="E1066" t="str">
        <f>"4574674200454783"</f>
        <v>4574674200454783</v>
      </c>
      <c r="F1066" t="str">
        <f>"925"</f>
        <v>925</v>
      </c>
      <c r="G1066">
        <v>1</v>
      </c>
      <c r="H1066">
        <v>2023</v>
      </c>
      <c r="I1066" t="s">
        <v>1181</v>
      </c>
    </row>
    <row r="1067" spans="1:9" x14ac:dyDescent="0.3">
      <c r="A1067" t="s">
        <v>10141</v>
      </c>
      <c r="B1067" t="s">
        <v>86</v>
      </c>
      <c r="C1067">
        <v>9406582649</v>
      </c>
      <c r="D1067" s="2">
        <v>1</v>
      </c>
      <c r="E1067" t="str">
        <f>"4574674200455137"</f>
        <v>4574674200455137</v>
      </c>
      <c r="F1067" t="str">
        <f>"384"</f>
        <v>384</v>
      </c>
      <c r="G1067">
        <v>1</v>
      </c>
      <c r="H1067">
        <v>2023</v>
      </c>
      <c r="I1067" t="s">
        <v>1182</v>
      </c>
    </row>
    <row r="1068" spans="1:9" x14ac:dyDescent="0.3">
      <c r="A1068" t="s">
        <v>10141</v>
      </c>
      <c r="B1068" t="s">
        <v>86</v>
      </c>
      <c r="C1068">
        <v>9406582649</v>
      </c>
      <c r="D1068" s="2">
        <v>1</v>
      </c>
      <c r="E1068" t="str">
        <f>"4574674200455186"</f>
        <v>4574674200455186</v>
      </c>
      <c r="F1068" t="str">
        <f>"571"</f>
        <v>571</v>
      </c>
      <c r="G1068">
        <v>1</v>
      </c>
      <c r="H1068">
        <v>2023</v>
      </c>
      <c r="I1068" t="s">
        <v>1183</v>
      </c>
    </row>
    <row r="1069" spans="1:9" x14ac:dyDescent="0.3">
      <c r="A1069" t="s">
        <v>10141</v>
      </c>
      <c r="B1069" t="s">
        <v>86</v>
      </c>
      <c r="C1069">
        <v>9406582649</v>
      </c>
      <c r="D1069" s="2">
        <v>1</v>
      </c>
      <c r="E1069" t="str">
        <f>"4574674200455152"</f>
        <v>4574674200455152</v>
      </c>
      <c r="F1069" t="str">
        <f>"808"</f>
        <v>808</v>
      </c>
      <c r="G1069">
        <v>1</v>
      </c>
      <c r="H1069">
        <v>2023</v>
      </c>
      <c r="I1069" t="s">
        <v>1184</v>
      </c>
    </row>
    <row r="1070" spans="1:9" x14ac:dyDescent="0.3">
      <c r="A1070" t="s">
        <v>10141</v>
      </c>
      <c r="B1070" t="s">
        <v>86</v>
      </c>
      <c r="C1070">
        <v>9406582649</v>
      </c>
      <c r="D1070" s="2">
        <v>1</v>
      </c>
      <c r="E1070" t="str">
        <f>"4574674200455194"</f>
        <v>4574674200455194</v>
      </c>
      <c r="F1070" t="str">
        <f>"618"</f>
        <v>618</v>
      </c>
      <c r="G1070">
        <v>1</v>
      </c>
      <c r="H1070">
        <v>2023</v>
      </c>
      <c r="I1070" t="s">
        <v>1185</v>
      </c>
    </row>
    <row r="1071" spans="1:9" x14ac:dyDescent="0.3">
      <c r="A1071" t="s">
        <v>10141</v>
      </c>
      <c r="B1071" t="s">
        <v>86</v>
      </c>
      <c r="C1071">
        <v>9406582649</v>
      </c>
      <c r="D1071" s="2">
        <v>1</v>
      </c>
      <c r="E1071" t="str">
        <f>"4574674200703742"</f>
        <v>4574674200703742</v>
      </c>
      <c r="F1071" t="str">
        <f>"405"</f>
        <v>405</v>
      </c>
      <c r="G1071">
        <v>1</v>
      </c>
      <c r="H1071">
        <v>2023</v>
      </c>
      <c r="I1071" t="s">
        <v>1186</v>
      </c>
    </row>
    <row r="1072" spans="1:9" x14ac:dyDescent="0.3">
      <c r="A1072" t="s">
        <v>10142</v>
      </c>
      <c r="B1072" t="s">
        <v>87</v>
      </c>
      <c r="C1072">
        <v>9406582649</v>
      </c>
      <c r="D1072" s="2">
        <v>1</v>
      </c>
      <c r="E1072" t="str">
        <f>"4574674200704443"</f>
        <v>4574674200704443</v>
      </c>
      <c r="F1072" t="str">
        <f>"205"</f>
        <v>205</v>
      </c>
      <c r="G1072">
        <v>1</v>
      </c>
      <c r="H1072">
        <v>2023</v>
      </c>
      <c r="I1072" t="s">
        <v>1187</v>
      </c>
    </row>
    <row r="1073" spans="1:9" x14ac:dyDescent="0.3">
      <c r="A1073" t="s">
        <v>10142</v>
      </c>
      <c r="B1073" t="s">
        <v>87</v>
      </c>
      <c r="C1073">
        <v>9406582649</v>
      </c>
      <c r="D1073" s="2">
        <v>1</v>
      </c>
      <c r="E1073" t="str">
        <f>"4574674200704666"</f>
        <v>4574674200704666</v>
      </c>
      <c r="F1073" t="str">
        <f>"416"</f>
        <v>416</v>
      </c>
      <c r="G1073">
        <v>1</v>
      </c>
      <c r="H1073">
        <v>2023</v>
      </c>
      <c r="I1073" t="s">
        <v>1188</v>
      </c>
    </row>
    <row r="1074" spans="1:9" x14ac:dyDescent="0.3">
      <c r="A1074" t="s">
        <v>10142</v>
      </c>
      <c r="B1074" t="s">
        <v>87</v>
      </c>
      <c r="C1074">
        <v>9406582649</v>
      </c>
      <c r="D1074" s="2">
        <v>1</v>
      </c>
      <c r="E1074" t="str">
        <f>"4574674200704419"</f>
        <v>4574674200704419</v>
      </c>
      <c r="F1074" t="str">
        <f>"366"</f>
        <v>366</v>
      </c>
      <c r="G1074">
        <v>1</v>
      </c>
      <c r="H1074">
        <v>2023</v>
      </c>
      <c r="I1074" t="s">
        <v>1189</v>
      </c>
    </row>
    <row r="1075" spans="1:9" x14ac:dyDescent="0.3">
      <c r="A1075" t="s">
        <v>10142</v>
      </c>
      <c r="B1075" t="s">
        <v>87</v>
      </c>
      <c r="C1075">
        <v>9406582649</v>
      </c>
      <c r="D1075" s="2">
        <v>1</v>
      </c>
      <c r="E1075" t="str">
        <f>"4574674200704450"</f>
        <v>4574674200704450</v>
      </c>
      <c r="F1075" t="str">
        <f>"454"</f>
        <v>454</v>
      </c>
      <c r="G1075">
        <v>1</v>
      </c>
      <c r="H1075">
        <v>2023</v>
      </c>
      <c r="I1075" t="s">
        <v>1190</v>
      </c>
    </row>
    <row r="1076" spans="1:9" x14ac:dyDescent="0.3">
      <c r="A1076" t="s">
        <v>10142</v>
      </c>
      <c r="B1076" t="s">
        <v>87</v>
      </c>
      <c r="C1076">
        <v>9406582649</v>
      </c>
      <c r="D1076" s="2">
        <v>1</v>
      </c>
      <c r="E1076" t="str">
        <f>"4574674200704427"</f>
        <v>4574674200704427</v>
      </c>
      <c r="F1076" t="str">
        <f>"797"</f>
        <v>797</v>
      </c>
      <c r="G1076">
        <v>1</v>
      </c>
      <c r="H1076">
        <v>2023</v>
      </c>
      <c r="I1076" t="s">
        <v>1191</v>
      </c>
    </row>
    <row r="1077" spans="1:9" x14ac:dyDescent="0.3">
      <c r="A1077" t="s">
        <v>10142</v>
      </c>
      <c r="B1077" t="s">
        <v>87</v>
      </c>
      <c r="C1077">
        <v>9406582649</v>
      </c>
      <c r="D1077" s="2">
        <v>1</v>
      </c>
      <c r="E1077" t="str">
        <f>"4574674200704435"</f>
        <v>4574674200704435</v>
      </c>
      <c r="F1077" t="str">
        <f>"476"</f>
        <v>476</v>
      </c>
      <c r="G1077">
        <v>1</v>
      </c>
      <c r="H1077">
        <v>2023</v>
      </c>
      <c r="I1077" t="s">
        <v>1192</v>
      </c>
    </row>
    <row r="1078" spans="1:9" x14ac:dyDescent="0.3">
      <c r="A1078" t="s">
        <v>10142</v>
      </c>
      <c r="B1078" t="s">
        <v>87</v>
      </c>
      <c r="C1078">
        <v>9406582649</v>
      </c>
      <c r="D1078" s="2">
        <v>1</v>
      </c>
      <c r="E1078" t="str">
        <f>"4574674200704468"</f>
        <v>4574674200704468</v>
      </c>
      <c r="F1078" t="str">
        <f>"916"</f>
        <v>916</v>
      </c>
      <c r="G1078">
        <v>1</v>
      </c>
      <c r="H1078">
        <v>2023</v>
      </c>
      <c r="I1078" t="s">
        <v>1193</v>
      </c>
    </row>
    <row r="1079" spans="1:9" x14ac:dyDescent="0.3">
      <c r="A1079" t="s">
        <v>10142</v>
      </c>
      <c r="B1079" t="s">
        <v>87</v>
      </c>
      <c r="C1079">
        <v>9406582649</v>
      </c>
      <c r="D1079" s="2">
        <v>1</v>
      </c>
      <c r="E1079" t="str">
        <f>"4574674200704823"</f>
        <v>4574674200704823</v>
      </c>
      <c r="F1079" t="str">
        <f>"224"</f>
        <v>224</v>
      </c>
      <c r="G1079">
        <v>1</v>
      </c>
      <c r="H1079">
        <v>2023</v>
      </c>
      <c r="I1079" t="s">
        <v>1194</v>
      </c>
    </row>
    <row r="1080" spans="1:9" x14ac:dyDescent="0.3">
      <c r="A1080" t="s">
        <v>10142</v>
      </c>
      <c r="B1080" t="s">
        <v>87</v>
      </c>
      <c r="C1080">
        <v>9406582649</v>
      </c>
      <c r="D1080" s="2">
        <v>1</v>
      </c>
      <c r="E1080" t="str">
        <f>"4574674200704542"</f>
        <v>4574674200704542</v>
      </c>
      <c r="F1080" t="str">
        <f>"531"</f>
        <v>531</v>
      </c>
      <c r="G1080">
        <v>1</v>
      </c>
      <c r="H1080">
        <v>2023</v>
      </c>
      <c r="I1080" t="s">
        <v>1195</v>
      </c>
    </row>
    <row r="1081" spans="1:9" x14ac:dyDescent="0.3">
      <c r="A1081" t="s">
        <v>10142</v>
      </c>
      <c r="B1081" t="s">
        <v>87</v>
      </c>
      <c r="C1081">
        <v>9406582649</v>
      </c>
      <c r="D1081" s="2">
        <v>1</v>
      </c>
      <c r="E1081" t="str">
        <f>"4574674200704534"</f>
        <v>4574674200704534</v>
      </c>
      <c r="F1081" t="str">
        <f>"062"</f>
        <v>062</v>
      </c>
      <c r="G1081">
        <v>1</v>
      </c>
      <c r="H1081">
        <v>2023</v>
      </c>
      <c r="I1081" t="s">
        <v>1196</v>
      </c>
    </row>
    <row r="1082" spans="1:9" x14ac:dyDescent="0.3">
      <c r="A1082" t="s">
        <v>10143</v>
      </c>
      <c r="B1082" t="s">
        <v>88</v>
      </c>
      <c r="C1082">
        <v>9406582649</v>
      </c>
      <c r="D1082" s="2">
        <v>1</v>
      </c>
      <c r="E1082" t="str">
        <f>"4574674200704559"</f>
        <v>4574674200704559</v>
      </c>
      <c r="F1082" t="str">
        <f>"066"</f>
        <v>066</v>
      </c>
      <c r="G1082">
        <v>1</v>
      </c>
      <c r="H1082">
        <v>2023</v>
      </c>
      <c r="I1082" t="s">
        <v>1197</v>
      </c>
    </row>
    <row r="1083" spans="1:9" x14ac:dyDescent="0.3">
      <c r="A1083" t="s">
        <v>10143</v>
      </c>
      <c r="B1083" t="s">
        <v>88</v>
      </c>
      <c r="C1083">
        <v>9406582649</v>
      </c>
      <c r="D1083" s="2">
        <v>1</v>
      </c>
      <c r="E1083" t="str">
        <f>"4574674200704567"</f>
        <v>4574674200704567</v>
      </c>
      <c r="F1083" t="str">
        <f>"806"</f>
        <v>806</v>
      </c>
      <c r="G1083">
        <v>1</v>
      </c>
      <c r="H1083">
        <v>2023</v>
      </c>
      <c r="I1083" t="s">
        <v>1198</v>
      </c>
    </row>
    <row r="1084" spans="1:9" x14ac:dyDescent="0.3">
      <c r="A1084" t="s">
        <v>10143</v>
      </c>
      <c r="B1084" t="s">
        <v>88</v>
      </c>
      <c r="C1084">
        <v>9406582649</v>
      </c>
      <c r="D1084" s="2">
        <v>1</v>
      </c>
      <c r="E1084" t="str">
        <f>"4574674200704575"</f>
        <v>4574674200704575</v>
      </c>
      <c r="F1084" t="str">
        <f>"045"</f>
        <v>045</v>
      </c>
      <c r="G1084">
        <v>1</v>
      </c>
      <c r="H1084">
        <v>2023</v>
      </c>
      <c r="I1084" t="s">
        <v>1199</v>
      </c>
    </row>
    <row r="1085" spans="1:9" x14ac:dyDescent="0.3">
      <c r="A1085" t="s">
        <v>10143</v>
      </c>
      <c r="B1085" t="s">
        <v>88</v>
      </c>
      <c r="C1085">
        <v>9406582649</v>
      </c>
      <c r="D1085" s="2">
        <v>1</v>
      </c>
      <c r="E1085" t="str">
        <f>"4574674200704591"</f>
        <v>4574674200704591</v>
      </c>
      <c r="F1085" t="str">
        <f>"727"</f>
        <v>727</v>
      </c>
      <c r="G1085">
        <v>1</v>
      </c>
      <c r="H1085">
        <v>2023</v>
      </c>
      <c r="I1085" t="s">
        <v>1200</v>
      </c>
    </row>
    <row r="1086" spans="1:9" x14ac:dyDescent="0.3">
      <c r="A1086" t="s">
        <v>10143</v>
      </c>
      <c r="B1086" t="s">
        <v>88</v>
      </c>
      <c r="C1086">
        <v>9406582649</v>
      </c>
      <c r="D1086" s="2">
        <v>1</v>
      </c>
      <c r="E1086" t="str">
        <f>"4574674200704997"</f>
        <v>4574674200704997</v>
      </c>
      <c r="F1086" t="str">
        <f>"894"</f>
        <v>894</v>
      </c>
      <c r="G1086">
        <v>1</v>
      </c>
      <c r="H1086">
        <v>2023</v>
      </c>
      <c r="I1086" t="s">
        <v>1201</v>
      </c>
    </row>
    <row r="1087" spans="1:9" x14ac:dyDescent="0.3">
      <c r="A1087" t="s">
        <v>10143</v>
      </c>
      <c r="B1087" t="s">
        <v>88</v>
      </c>
      <c r="C1087">
        <v>9406582649</v>
      </c>
      <c r="D1087" s="2">
        <v>1</v>
      </c>
      <c r="E1087" t="str">
        <f>"4574674200705051"</f>
        <v>4574674200705051</v>
      </c>
      <c r="F1087" t="str">
        <f>"945"</f>
        <v>945</v>
      </c>
      <c r="G1087">
        <v>1</v>
      </c>
      <c r="H1087">
        <v>2023</v>
      </c>
      <c r="I1087" t="s">
        <v>1202</v>
      </c>
    </row>
    <row r="1088" spans="1:9" x14ac:dyDescent="0.3">
      <c r="A1088" t="s">
        <v>10143</v>
      </c>
      <c r="B1088" t="s">
        <v>88</v>
      </c>
      <c r="C1088">
        <v>9406582649</v>
      </c>
      <c r="D1088" s="2">
        <v>1</v>
      </c>
      <c r="E1088" t="str">
        <f>"4574674200705069"</f>
        <v>4574674200705069</v>
      </c>
      <c r="F1088" t="str">
        <f>"738"</f>
        <v>738</v>
      </c>
      <c r="G1088">
        <v>1</v>
      </c>
      <c r="H1088">
        <v>2023</v>
      </c>
      <c r="I1088" t="s">
        <v>1203</v>
      </c>
    </row>
    <row r="1089" spans="1:9" x14ac:dyDescent="0.3">
      <c r="A1089" t="s">
        <v>10143</v>
      </c>
      <c r="B1089" t="s">
        <v>88</v>
      </c>
      <c r="C1089">
        <v>9406582649</v>
      </c>
      <c r="D1089" s="2">
        <v>1</v>
      </c>
      <c r="E1089" t="str">
        <f>"4574674200705077"</f>
        <v>4574674200705077</v>
      </c>
      <c r="F1089" t="str">
        <f>"178"</f>
        <v>178</v>
      </c>
      <c r="G1089">
        <v>1</v>
      </c>
      <c r="H1089">
        <v>2023</v>
      </c>
      <c r="I1089" t="s">
        <v>1204</v>
      </c>
    </row>
    <row r="1090" spans="1:9" x14ac:dyDescent="0.3">
      <c r="A1090" t="s">
        <v>10143</v>
      </c>
      <c r="B1090" t="s">
        <v>88</v>
      </c>
      <c r="C1090">
        <v>9406582649</v>
      </c>
      <c r="D1090" s="2">
        <v>1</v>
      </c>
      <c r="E1090" t="str">
        <f>"4574674200705085"</f>
        <v>4574674200705085</v>
      </c>
      <c r="F1090" t="str">
        <f>"648"</f>
        <v>648</v>
      </c>
      <c r="G1090">
        <v>1</v>
      </c>
      <c r="H1090">
        <v>2023</v>
      </c>
      <c r="I1090" t="s">
        <v>1205</v>
      </c>
    </row>
    <row r="1091" spans="1:9" x14ac:dyDescent="0.3">
      <c r="A1091" t="s">
        <v>10143</v>
      </c>
      <c r="B1091" t="s">
        <v>88</v>
      </c>
      <c r="C1091">
        <v>9406582649</v>
      </c>
      <c r="D1091" s="2">
        <v>1</v>
      </c>
      <c r="E1091" t="str">
        <f>"4574674200705093"</f>
        <v>4574674200705093</v>
      </c>
      <c r="F1091" t="str">
        <f>"935"</f>
        <v>935</v>
      </c>
      <c r="G1091">
        <v>1</v>
      </c>
      <c r="H1091">
        <v>2023</v>
      </c>
      <c r="I1091" t="s">
        <v>1206</v>
      </c>
    </row>
    <row r="1092" spans="1:9" x14ac:dyDescent="0.3">
      <c r="A1092" t="s">
        <v>10144</v>
      </c>
      <c r="B1092" t="s">
        <v>89</v>
      </c>
      <c r="C1092">
        <v>9406582649</v>
      </c>
      <c r="D1092" s="2">
        <v>1</v>
      </c>
      <c r="E1092" t="str">
        <f>"4574674200705358"</f>
        <v>4574674200705358</v>
      </c>
      <c r="F1092" t="str">
        <f>"645"</f>
        <v>645</v>
      </c>
      <c r="G1092">
        <v>1</v>
      </c>
      <c r="H1092">
        <v>2023</v>
      </c>
      <c r="I1092" t="s">
        <v>1207</v>
      </c>
    </row>
    <row r="1093" spans="1:9" x14ac:dyDescent="0.3">
      <c r="A1093" t="s">
        <v>10144</v>
      </c>
      <c r="B1093" t="s">
        <v>89</v>
      </c>
      <c r="C1093">
        <v>9406582649</v>
      </c>
      <c r="D1093" s="2">
        <v>1</v>
      </c>
      <c r="E1093" t="str">
        <f>"4574674200705127"</f>
        <v>4574674200705127</v>
      </c>
      <c r="F1093" t="str">
        <f>"315"</f>
        <v>315</v>
      </c>
      <c r="G1093">
        <v>1</v>
      </c>
      <c r="H1093">
        <v>2023</v>
      </c>
      <c r="I1093" t="s">
        <v>1208</v>
      </c>
    </row>
    <row r="1094" spans="1:9" x14ac:dyDescent="0.3">
      <c r="A1094" t="s">
        <v>10144</v>
      </c>
      <c r="B1094" t="s">
        <v>89</v>
      </c>
      <c r="C1094">
        <v>9406582649</v>
      </c>
      <c r="D1094" s="2">
        <v>1</v>
      </c>
      <c r="E1094" t="str">
        <f>"4574674200705507"</f>
        <v>4574674200705507</v>
      </c>
      <c r="F1094" t="str">
        <f>"124"</f>
        <v>124</v>
      </c>
      <c r="G1094">
        <v>1</v>
      </c>
      <c r="H1094">
        <v>2023</v>
      </c>
      <c r="I1094" t="s">
        <v>1209</v>
      </c>
    </row>
    <row r="1095" spans="1:9" x14ac:dyDescent="0.3">
      <c r="A1095" t="s">
        <v>10144</v>
      </c>
      <c r="B1095" t="s">
        <v>89</v>
      </c>
      <c r="C1095">
        <v>9406582649</v>
      </c>
      <c r="D1095" s="2">
        <v>1</v>
      </c>
      <c r="E1095" t="str">
        <f>"4574674200705184"</f>
        <v>4574674200705184</v>
      </c>
      <c r="F1095" t="str">
        <f>"980"</f>
        <v>980</v>
      </c>
      <c r="G1095">
        <v>1</v>
      </c>
      <c r="H1095">
        <v>2023</v>
      </c>
      <c r="I1095" t="s">
        <v>1210</v>
      </c>
    </row>
    <row r="1096" spans="1:9" x14ac:dyDescent="0.3">
      <c r="A1096" t="s">
        <v>10144</v>
      </c>
      <c r="B1096" t="s">
        <v>89</v>
      </c>
      <c r="C1096">
        <v>9406582649</v>
      </c>
      <c r="D1096" s="2">
        <v>1</v>
      </c>
      <c r="E1096" t="str">
        <f>"4574674200705192"</f>
        <v>4574674200705192</v>
      </c>
      <c r="F1096" t="str">
        <f>"853"</f>
        <v>853</v>
      </c>
      <c r="G1096">
        <v>1</v>
      </c>
      <c r="H1096">
        <v>2023</v>
      </c>
      <c r="I1096" t="s">
        <v>1211</v>
      </c>
    </row>
    <row r="1097" spans="1:9" x14ac:dyDescent="0.3">
      <c r="A1097" t="s">
        <v>10144</v>
      </c>
      <c r="B1097" t="s">
        <v>89</v>
      </c>
      <c r="C1097">
        <v>9406582649</v>
      </c>
      <c r="D1097" s="2">
        <v>1</v>
      </c>
      <c r="E1097" t="str">
        <f>"4574674200705176"</f>
        <v>4574674200705176</v>
      </c>
      <c r="F1097" t="str">
        <f>"682"</f>
        <v>682</v>
      </c>
      <c r="G1097">
        <v>1</v>
      </c>
      <c r="H1097">
        <v>2023</v>
      </c>
      <c r="I1097" t="s">
        <v>1212</v>
      </c>
    </row>
    <row r="1098" spans="1:9" x14ac:dyDescent="0.3">
      <c r="A1098" t="s">
        <v>10144</v>
      </c>
      <c r="B1098" t="s">
        <v>89</v>
      </c>
      <c r="C1098">
        <v>9406582649</v>
      </c>
      <c r="D1098" s="2">
        <v>1</v>
      </c>
      <c r="E1098" t="str">
        <f>"4574674200705606"</f>
        <v>4574674200705606</v>
      </c>
      <c r="F1098" t="str">
        <f>"545"</f>
        <v>545</v>
      </c>
      <c r="G1098">
        <v>1</v>
      </c>
      <c r="H1098">
        <v>2023</v>
      </c>
      <c r="I1098" t="s">
        <v>1213</v>
      </c>
    </row>
    <row r="1099" spans="1:9" x14ac:dyDescent="0.3">
      <c r="A1099" t="s">
        <v>10144</v>
      </c>
      <c r="B1099" t="s">
        <v>89</v>
      </c>
      <c r="C1099">
        <v>9406582649</v>
      </c>
      <c r="D1099" s="2">
        <v>1</v>
      </c>
      <c r="E1099" t="str">
        <f>"4574674200705622"</f>
        <v>4574674200705622</v>
      </c>
      <c r="F1099" t="str">
        <f>"097"</f>
        <v>097</v>
      </c>
      <c r="G1099">
        <v>1</v>
      </c>
      <c r="H1099">
        <v>2023</v>
      </c>
      <c r="I1099" t="s">
        <v>1214</v>
      </c>
    </row>
    <row r="1100" spans="1:9" x14ac:dyDescent="0.3">
      <c r="A1100" t="s">
        <v>10144</v>
      </c>
      <c r="B1100" t="s">
        <v>89</v>
      </c>
      <c r="C1100">
        <v>9406582649</v>
      </c>
      <c r="D1100" s="2">
        <v>1</v>
      </c>
      <c r="E1100" t="str">
        <f>"4574674200705648"</f>
        <v>4574674200705648</v>
      </c>
      <c r="F1100" t="str">
        <f>"404"</f>
        <v>404</v>
      </c>
      <c r="G1100">
        <v>1</v>
      </c>
      <c r="H1100">
        <v>2023</v>
      </c>
      <c r="I1100" t="s">
        <v>1215</v>
      </c>
    </row>
    <row r="1101" spans="1:9" x14ac:dyDescent="0.3">
      <c r="A1101" t="s">
        <v>10144</v>
      </c>
      <c r="B1101" t="s">
        <v>89</v>
      </c>
      <c r="C1101">
        <v>9406582649</v>
      </c>
      <c r="D1101" s="2">
        <v>1</v>
      </c>
      <c r="E1101" t="str">
        <f>"4574674200705895"</f>
        <v>4574674200705895</v>
      </c>
      <c r="F1101" t="str">
        <f>"903"</f>
        <v>903</v>
      </c>
      <c r="G1101">
        <v>1</v>
      </c>
      <c r="H1101">
        <v>2023</v>
      </c>
      <c r="I1101" t="s">
        <v>1216</v>
      </c>
    </row>
    <row r="1102" spans="1:9" x14ac:dyDescent="0.3">
      <c r="A1102" t="s">
        <v>10145</v>
      </c>
      <c r="B1102" t="s">
        <v>90</v>
      </c>
      <c r="C1102">
        <v>9406582649</v>
      </c>
      <c r="D1102" s="2">
        <v>1</v>
      </c>
      <c r="E1102" t="str">
        <f>"4574674200705705"</f>
        <v>4574674200705705</v>
      </c>
      <c r="F1102" t="str">
        <f>"249"</f>
        <v>249</v>
      </c>
      <c r="G1102">
        <v>1</v>
      </c>
      <c r="H1102">
        <v>2023</v>
      </c>
      <c r="I1102" t="s">
        <v>1217</v>
      </c>
    </row>
    <row r="1103" spans="1:9" x14ac:dyDescent="0.3">
      <c r="A1103" t="s">
        <v>10145</v>
      </c>
      <c r="B1103" t="s">
        <v>90</v>
      </c>
      <c r="C1103">
        <v>9406582649</v>
      </c>
      <c r="D1103" s="2">
        <v>1</v>
      </c>
      <c r="E1103" t="str">
        <f>"4574674200705697"</f>
        <v>4574674200705697</v>
      </c>
      <c r="F1103" t="str">
        <f>"930"</f>
        <v>930</v>
      </c>
      <c r="G1103">
        <v>1</v>
      </c>
      <c r="H1103">
        <v>2023</v>
      </c>
      <c r="I1103" t="s">
        <v>1218</v>
      </c>
    </row>
    <row r="1104" spans="1:9" x14ac:dyDescent="0.3">
      <c r="A1104" t="s">
        <v>10145</v>
      </c>
      <c r="B1104" t="s">
        <v>90</v>
      </c>
      <c r="C1104">
        <v>9406582649</v>
      </c>
      <c r="D1104" s="2">
        <v>1</v>
      </c>
      <c r="E1104" t="str">
        <f>"4574674200705713"</f>
        <v>4574674200705713</v>
      </c>
      <c r="F1104" t="str">
        <f>"580"</f>
        <v>580</v>
      </c>
      <c r="G1104">
        <v>1</v>
      </c>
      <c r="H1104">
        <v>2023</v>
      </c>
      <c r="I1104" t="s">
        <v>1219</v>
      </c>
    </row>
    <row r="1105" spans="1:9" x14ac:dyDescent="0.3">
      <c r="A1105" t="s">
        <v>10145</v>
      </c>
      <c r="B1105" t="s">
        <v>90</v>
      </c>
      <c r="C1105">
        <v>9406582649</v>
      </c>
      <c r="D1105" s="2">
        <v>1</v>
      </c>
      <c r="E1105" t="str">
        <f>"4574674200706059"</f>
        <v>4574674200706059</v>
      </c>
      <c r="F1105" t="str">
        <f>"628"</f>
        <v>628</v>
      </c>
      <c r="G1105">
        <v>1</v>
      </c>
      <c r="H1105">
        <v>2023</v>
      </c>
      <c r="I1105" t="s">
        <v>1220</v>
      </c>
    </row>
    <row r="1106" spans="1:9" x14ac:dyDescent="0.3">
      <c r="A1106" t="s">
        <v>10145</v>
      </c>
      <c r="B1106" t="s">
        <v>90</v>
      </c>
      <c r="C1106">
        <v>9406582649</v>
      </c>
      <c r="D1106" s="2">
        <v>1</v>
      </c>
      <c r="E1106" t="str">
        <f>"4574674200705747"</f>
        <v>4574674200705747</v>
      </c>
      <c r="F1106" t="str">
        <f>"966"</f>
        <v>966</v>
      </c>
      <c r="G1106">
        <v>1</v>
      </c>
      <c r="H1106">
        <v>2023</v>
      </c>
      <c r="I1106" t="s">
        <v>1221</v>
      </c>
    </row>
    <row r="1107" spans="1:9" x14ac:dyDescent="0.3">
      <c r="A1107" t="s">
        <v>10145</v>
      </c>
      <c r="B1107" t="s">
        <v>90</v>
      </c>
      <c r="C1107">
        <v>9406582649</v>
      </c>
      <c r="D1107" s="2">
        <v>1</v>
      </c>
      <c r="E1107" t="str">
        <f>"4574674200705721"</f>
        <v>4574674200705721</v>
      </c>
      <c r="F1107" t="str">
        <f>"804"</f>
        <v>804</v>
      </c>
      <c r="G1107">
        <v>1</v>
      </c>
      <c r="H1107">
        <v>2023</v>
      </c>
      <c r="I1107" t="s">
        <v>1222</v>
      </c>
    </row>
    <row r="1108" spans="1:9" x14ac:dyDescent="0.3">
      <c r="A1108" t="s">
        <v>10145</v>
      </c>
      <c r="B1108" t="s">
        <v>90</v>
      </c>
      <c r="C1108">
        <v>9406582649</v>
      </c>
      <c r="D1108" s="2">
        <v>1</v>
      </c>
      <c r="E1108" t="str">
        <f>"4574674200705739"</f>
        <v>4574674200705739</v>
      </c>
      <c r="F1108" t="str">
        <f>"631"</f>
        <v>631</v>
      </c>
      <c r="G1108">
        <v>1</v>
      </c>
      <c r="H1108">
        <v>2023</v>
      </c>
      <c r="I1108" t="s">
        <v>1223</v>
      </c>
    </row>
    <row r="1109" spans="1:9" x14ac:dyDescent="0.3">
      <c r="A1109" t="s">
        <v>10145</v>
      </c>
      <c r="B1109" t="s">
        <v>90</v>
      </c>
      <c r="C1109">
        <v>9406582649</v>
      </c>
      <c r="D1109" s="2">
        <v>1</v>
      </c>
      <c r="E1109" t="str">
        <f>"4574674200706208"</f>
        <v>4574674200706208</v>
      </c>
      <c r="F1109" t="str">
        <f>"809"</f>
        <v>809</v>
      </c>
      <c r="G1109">
        <v>1</v>
      </c>
      <c r="H1109">
        <v>2023</v>
      </c>
      <c r="I1109" t="s">
        <v>1224</v>
      </c>
    </row>
    <row r="1110" spans="1:9" x14ac:dyDescent="0.3">
      <c r="A1110" t="s">
        <v>10145</v>
      </c>
      <c r="B1110" t="s">
        <v>90</v>
      </c>
      <c r="C1110">
        <v>9406582649</v>
      </c>
      <c r="D1110" s="2">
        <v>1</v>
      </c>
      <c r="E1110" t="str">
        <f>"4574674200706224"</f>
        <v>4574674200706224</v>
      </c>
      <c r="F1110" t="str">
        <f>"005"</f>
        <v>005</v>
      </c>
      <c r="G1110">
        <v>1</v>
      </c>
      <c r="H1110">
        <v>2023</v>
      </c>
      <c r="I1110" t="s">
        <v>1225</v>
      </c>
    </row>
    <row r="1111" spans="1:9" x14ac:dyDescent="0.3">
      <c r="A1111" t="s">
        <v>10145</v>
      </c>
      <c r="B1111" t="s">
        <v>90</v>
      </c>
      <c r="C1111">
        <v>9406582649</v>
      </c>
      <c r="D1111" s="2">
        <v>1</v>
      </c>
      <c r="E1111" t="str">
        <f>"4574674200706414"</f>
        <v>4574674200706414</v>
      </c>
      <c r="F1111" t="str">
        <f>"118"</f>
        <v>118</v>
      </c>
      <c r="G1111">
        <v>1</v>
      </c>
      <c r="H1111">
        <v>2023</v>
      </c>
      <c r="I1111" t="s">
        <v>1226</v>
      </c>
    </row>
    <row r="1112" spans="1:9" x14ac:dyDescent="0.3">
      <c r="A1112" t="s">
        <v>10146</v>
      </c>
      <c r="B1112" t="s">
        <v>91</v>
      </c>
      <c r="C1112">
        <v>9406582649</v>
      </c>
      <c r="D1112" s="2">
        <v>1</v>
      </c>
      <c r="E1112" t="str">
        <f>"4574674200706232"</f>
        <v>4574674200706232</v>
      </c>
      <c r="F1112" t="str">
        <f>"960"</f>
        <v>960</v>
      </c>
      <c r="G1112">
        <v>1</v>
      </c>
      <c r="H1112">
        <v>2023</v>
      </c>
      <c r="I1112" t="s">
        <v>1227</v>
      </c>
    </row>
    <row r="1113" spans="1:9" x14ac:dyDescent="0.3">
      <c r="A1113" t="s">
        <v>10146</v>
      </c>
      <c r="B1113" t="s">
        <v>91</v>
      </c>
      <c r="C1113">
        <v>9406582649</v>
      </c>
      <c r="D1113" s="2">
        <v>1</v>
      </c>
      <c r="E1113" t="str">
        <f>"4574674200706240"</f>
        <v>4574674200706240</v>
      </c>
      <c r="F1113" t="str">
        <f>"482"</f>
        <v>482</v>
      </c>
      <c r="G1113">
        <v>1</v>
      </c>
      <c r="H1113">
        <v>2023</v>
      </c>
      <c r="I1113" t="s">
        <v>1228</v>
      </c>
    </row>
    <row r="1114" spans="1:9" x14ac:dyDescent="0.3">
      <c r="A1114" t="s">
        <v>10146</v>
      </c>
      <c r="B1114" t="s">
        <v>91</v>
      </c>
      <c r="C1114">
        <v>9406582649</v>
      </c>
      <c r="D1114" s="2">
        <v>1</v>
      </c>
      <c r="E1114" t="str">
        <f>"4574674200706257"</f>
        <v>4574674200706257</v>
      </c>
      <c r="F1114" t="str">
        <f>"852"</f>
        <v>852</v>
      </c>
      <c r="G1114">
        <v>1</v>
      </c>
      <c r="H1114">
        <v>2023</v>
      </c>
      <c r="I1114" t="s">
        <v>1229</v>
      </c>
    </row>
    <row r="1115" spans="1:9" x14ac:dyDescent="0.3">
      <c r="A1115" t="s">
        <v>10146</v>
      </c>
      <c r="B1115" t="s">
        <v>91</v>
      </c>
      <c r="C1115">
        <v>9406582649</v>
      </c>
      <c r="D1115" s="2">
        <v>1</v>
      </c>
      <c r="E1115" t="str">
        <f>"4574674200706265"</f>
        <v>4574674200706265</v>
      </c>
      <c r="F1115" t="str">
        <f>"162"</f>
        <v>162</v>
      </c>
      <c r="G1115">
        <v>1</v>
      </c>
      <c r="H1115">
        <v>2023</v>
      </c>
      <c r="I1115" t="s">
        <v>1230</v>
      </c>
    </row>
    <row r="1116" spans="1:9" x14ac:dyDescent="0.3">
      <c r="A1116" t="s">
        <v>10146</v>
      </c>
      <c r="B1116" t="s">
        <v>91</v>
      </c>
      <c r="C1116">
        <v>9406582649</v>
      </c>
      <c r="D1116" s="2">
        <v>1</v>
      </c>
      <c r="E1116" t="str">
        <f>"4574674200706570"</f>
        <v>4574674200706570</v>
      </c>
      <c r="F1116" t="str">
        <f>"313"</f>
        <v>313</v>
      </c>
      <c r="G1116">
        <v>1</v>
      </c>
      <c r="H1116">
        <v>2023</v>
      </c>
      <c r="I1116" t="s">
        <v>1231</v>
      </c>
    </row>
    <row r="1117" spans="1:9" x14ac:dyDescent="0.3">
      <c r="A1117" t="s">
        <v>10146</v>
      </c>
      <c r="B1117" t="s">
        <v>91</v>
      </c>
      <c r="C1117">
        <v>9406582649</v>
      </c>
      <c r="D1117" s="2">
        <v>1</v>
      </c>
      <c r="E1117" t="str">
        <f>"4574674200706331"</f>
        <v>4574674200706331</v>
      </c>
      <c r="F1117" t="str">
        <f>"923"</f>
        <v>923</v>
      </c>
      <c r="G1117">
        <v>1</v>
      </c>
      <c r="H1117">
        <v>2023</v>
      </c>
      <c r="I1117" t="s">
        <v>1232</v>
      </c>
    </row>
    <row r="1118" spans="1:9" x14ac:dyDescent="0.3">
      <c r="A1118" t="s">
        <v>10146</v>
      </c>
      <c r="B1118" t="s">
        <v>91</v>
      </c>
      <c r="C1118">
        <v>9406582649</v>
      </c>
      <c r="D1118" s="2">
        <v>1</v>
      </c>
      <c r="E1118" t="str">
        <f>"4574674200706349"</f>
        <v>4574674200706349</v>
      </c>
      <c r="F1118" t="str">
        <f>"149"</f>
        <v>149</v>
      </c>
      <c r="G1118">
        <v>1</v>
      </c>
      <c r="H1118">
        <v>2023</v>
      </c>
      <c r="I1118" t="s">
        <v>1233</v>
      </c>
    </row>
    <row r="1119" spans="1:9" x14ac:dyDescent="0.3">
      <c r="A1119" t="s">
        <v>10146</v>
      </c>
      <c r="B1119" t="s">
        <v>91</v>
      </c>
      <c r="C1119">
        <v>9406582649</v>
      </c>
      <c r="D1119" s="2">
        <v>1</v>
      </c>
      <c r="E1119" t="str">
        <f>"4574674200706752"</f>
        <v>4574674200706752</v>
      </c>
      <c r="F1119" t="str">
        <f>"874"</f>
        <v>874</v>
      </c>
      <c r="G1119">
        <v>1</v>
      </c>
      <c r="H1119">
        <v>2023</v>
      </c>
      <c r="I1119" t="s">
        <v>1234</v>
      </c>
    </row>
    <row r="1120" spans="1:9" x14ac:dyDescent="0.3">
      <c r="A1120" t="s">
        <v>10146</v>
      </c>
      <c r="B1120" t="s">
        <v>91</v>
      </c>
      <c r="C1120">
        <v>9406582649</v>
      </c>
      <c r="D1120" s="2">
        <v>1</v>
      </c>
      <c r="E1120" t="str">
        <f>"4574674200706356"</f>
        <v>4574674200706356</v>
      </c>
      <c r="F1120" t="str">
        <f>"624"</f>
        <v>624</v>
      </c>
      <c r="G1120">
        <v>1</v>
      </c>
      <c r="H1120">
        <v>2023</v>
      </c>
      <c r="I1120" t="s">
        <v>1235</v>
      </c>
    </row>
    <row r="1121" spans="1:9" x14ac:dyDescent="0.3">
      <c r="A1121" t="s">
        <v>10146</v>
      </c>
      <c r="B1121" t="s">
        <v>91</v>
      </c>
      <c r="C1121">
        <v>9406582649</v>
      </c>
      <c r="D1121" s="2">
        <v>1</v>
      </c>
      <c r="E1121" t="str">
        <f>"4574674200706372"</f>
        <v>4574674200706372</v>
      </c>
      <c r="F1121" t="str">
        <f>"814"</f>
        <v>814</v>
      </c>
      <c r="G1121">
        <v>1</v>
      </c>
      <c r="H1121">
        <v>2023</v>
      </c>
      <c r="I1121" t="s">
        <v>1236</v>
      </c>
    </row>
    <row r="1122" spans="1:9" x14ac:dyDescent="0.3">
      <c r="A1122" t="s">
        <v>10147</v>
      </c>
      <c r="B1122" t="s">
        <v>92</v>
      </c>
      <c r="C1122">
        <v>9406582649</v>
      </c>
      <c r="D1122" s="2">
        <v>1</v>
      </c>
      <c r="E1122" t="str">
        <f>"4574674200706380"</f>
        <v>4574674200706380</v>
      </c>
      <c r="F1122" t="str">
        <f>"042"</f>
        <v>042</v>
      </c>
      <c r="G1122">
        <v>1</v>
      </c>
      <c r="H1122">
        <v>2023</v>
      </c>
      <c r="I1122" t="s">
        <v>1237</v>
      </c>
    </row>
    <row r="1123" spans="1:9" x14ac:dyDescent="0.3">
      <c r="A1123" t="s">
        <v>10147</v>
      </c>
      <c r="B1123" t="s">
        <v>92</v>
      </c>
      <c r="C1123">
        <v>9406582649</v>
      </c>
      <c r="D1123" s="2">
        <v>1</v>
      </c>
      <c r="E1123" t="str">
        <f>"4574674200706398"</f>
        <v>4574674200706398</v>
      </c>
      <c r="F1123" t="str">
        <f>"445"</f>
        <v>445</v>
      </c>
      <c r="G1123">
        <v>1</v>
      </c>
      <c r="H1123">
        <v>2023</v>
      </c>
      <c r="I1123" t="s">
        <v>1238</v>
      </c>
    </row>
    <row r="1124" spans="1:9" x14ac:dyDescent="0.3">
      <c r="A1124" t="s">
        <v>10147</v>
      </c>
      <c r="B1124" t="s">
        <v>92</v>
      </c>
      <c r="C1124">
        <v>9406582649</v>
      </c>
      <c r="D1124" s="2">
        <v>1</v>
      </c>
      <c r="E1124" t="str">
        <f>"4574674200707008"</f>
        <v>4574674200707008</v>
      </c>
      <c r="F1124" t="str">
        <f>"416"</f>
        <v>416</v>
      </c>
      <c r="G1124">
        <v>1</v>
      </c>
      <c r="H1124">
        <v>2023</v>
      </c>
      <c r="I1124" t="s">
        <v>1239</v>
      </c>
    </row>
    <row r="1125" spans="1:9" x14ac:dyDescent="0.3">
      <c r="A1125" t="s">
        <v>10147</v>
      </c>
      <c r="B1125" t="s">
        <v>92</v>
      </c>
      <c r="C1125">
        <v>9406582649</v>
      </c>
      <c r="D1125" s="2">
        <v>1</v>
      </c>
      <c r="E1125" t="str">
        <f>"4574674200707032"</f>
        <v>4574674200707032</v>
      </c>
      <c r="F1125" t="str">
        <f>"422"</f>
        <v>422</v>
      </c>
      <c r="G1125">
        <v>1</v>
      </c>
      <c r="H1125">
        <v>2023</v>
      </c>
      <c r="I1125" t="s">
        <v>1240</v>
      </c>
    </row>
    <row r="1126" spans="1:9" x14ac:dyDescent="0.3">
      <c r="A1126" t="s">
        <v>10147</v>
      </c>
      <c r="B1126" t="s">
        <v>92</v>
      </c>
      <c r="C1126">
        <v>9406582649</v>
      </c>
      <c r="D1126" s="2">
        <v>1</v>
      </c>
      <c r="E1126" t="str">
        <f>"4574674200706893"</f>
        <v>4574674200706893</v>
      </c>
      <c r="F1126" t="str">
        <f>"398"</f>
        <v>398</v>
      </c>
      <c r="G1126">
        <v>1</v>
      </c>
      <c r="H1126">
        <v>2023</v>
      </c>
      <c r="I1126" t="s">
        <v>1241</v>
      </c>
    </row>
    <row r="1127" spans="1:9" x14ac:dyDescent="0.3">
      <c r="A1127" t="s">
        <v>10147</v>
      </c>
      <c r="B1127" t="s">
        <v>92</v>
      </c>
      <c r="C1127">
        <v>9406582649</v>
      </c>
      <c r="D1127" s="2">
        <v>1</v>
      </c>
      <c r="E1127" t="str">
        <f>"4574674200707081"</f>
        <v>4574674200707081</v>
      </c>
      <c r="F1127" t="str">
        <f>"561"</f>
        <v>561</v>
      </c>
      <c r="G1127">
        <v>1</v>
      </c>
      <c r="H1127">
        <v>2023</v>
      </c>
      <c r="I1127" t="s">
        <v>1242</v>
      </c>
    </row>
    <row r="1128" spans="1:9" x14ac:dyDescent="0.3">
      <c r="A1128" t="s">
        <v>10147</v>
      </c>
      <c r="B1128" t="s">
        <v>92</v>
      </c>
      <c r="C1128">
        <v>9406582649</v>
      </c>
      <c r="D1128" s="2">
        <v>1</v>
      </c>
      <c r="E1128" t="str">
        <f>"4574674200707289"</f>
        <v>4574674200707289</v>
      </c>
      <c r="F1128" t="str">
        <f>"884"</f>
        <v>884</v>
      </c>
      <c r="G1128">
        <v>1</v>
      </c>
      <c r="H1128">
        <v>2023</v>
      </c>
      <c r="I1128" t="s">
        <v>1243</v>
      </c>
    </row>
    <row r="1129" spans="1:9" x14ac:dyDescent="0.3">
      <c r="A1129" t="s">
        <v>10147</v>
      </c>
      <c r="B1129" t="s">
        <v>92</v>
      </c>
      <c r="C1129">
        <v>9406582649</v>
      </c>
      <c r="D1129" s="2">
        <v>1</v>
      </c>
      <c r="E1129" t="str">
        <f>"4574674200707099"</f>
        <v>4574674200707099</v>
      </c>
      <c r="F1129" t="str">
        <f>"539"</f>
        <v>539</v>
      </c>
      <c r="G1129">
        <v>1</v>
      </c>
      <c r="H1129">
        <v>2023</v>
      </c>
      <c r="I1129" t="s">
        <v>1244</v>
      </c>
    </row>
    <row r="1130" spans="1:9" x14ac:dyDescent="0.3">
      <c r="A1130" t="s">
        <v>10147</v>
      </c>
      <c r="B1130" t="s">
        <v>92</v>
      </c>
      <c r="C1130">
        <v>9406582649</v>
      </c>
      <c r="D1130" s="2">
        <v>1</v>
      </c>
      <c r="E1130" t="str">
        <f>"4574674200707115"</f>
        <v>4574674200707115</v>
      </c>
      <c r="F1130" t="str">
        <f>"500"</f>
        <v>500</v>
      </c>
      <c r="G1130">
        <v>1</v>
      </c>
      <c r="H1130">
        <v>2023</v>
      </c>
      <c r="I1130" t="s">
        <v>1245</v>
      </c>
    </row>
    <row r="1131" spans="1:9" x14ac:dyDescent="0.3">
      <c r="A1131" t="s">
        <v>10147</v>
      </c>
      <c r="B1131" t="s">
        <v>92</v>
      </c>
      <c r="C1131">
        <v>9406582649</v>
      </c>
      <c r="D1131" s="2">
        <v>1</v>
      </c>
      <c r="E1131" t="str">
        <f>"4574674200707123"</f>
        <v>4574674200707123</v>
      </c>
      <c r="F1131" t="str">
        <f>"012"</f>
        <v>012</v>
      </c>
      <c r="G1131">
        <v>1</v>
      </c>
      <c r="H1131">
        <v>2023</v>
      </c>
      <c r="I1131" t="s">
        <v>1246</v>
      </c>
    </row>
    <row r="1132" spans="1:9" x14ac:dyDescent="0.3">
      <c r="A1132" t="s">
        <v>10148</v>
      </c>
      <c r="B1132" t="s">
        <v>93</v>
      </c>
      <c r="C1132">
        <v>9406582649</v>
      </c>
      <c r="D1132" s="2">
        <v>1</v>
      </c>
      <c r="E1132" t="str">
        <f>"4574674200707131"</f>
        <v>4574674200707131</v>
      </c>
      <c r="F1132" t="str">
        <f>"598"</f>
        <v>598</v>
      </c>
      <c r="G1132">
        <v>1</v>
      </c>
      <c r="H1132">
        <v>2023</v>
      </c>
      <c r="I1132" t="s">
        <v>1247</v>
      </c>
    </row>
    <row r="1133" spans="1:9" x14ac:dyDescent="0.3">
      <c r="A1133" t="s">
        <v>10148</v>
      </c>
      <c r="B1133" t="s">
        <v>93</v>
      </c>
      <c r="C1133">
        <v>9406582649</v>
      </c>
      <c r="D1133" s="2">
        <v>1</v>
      </c>
      <c r="E1133" t="str">
        <f>"4574674200707180"</f>
        <v>4574674200707180</v>
      </c>
      <c r="F1133" t="str">
        <f>"331"</f>
        <v>331</v>
      </c>
      <c r="G1133">
        <v>1</v>
      </c>
      <c r="H1133">
        <v>2023</v>
      </c>
      <c r="I1133" t="s">
        <v>1248</v>
      </c>
    </row>
    <row r="1134" spans="1:9" x14ac:dyDescent="0.3">
      <c r="A1134" t="s">
        <v>10148</v>
      </c>
      <c r="B1134" t="s">
        <v>93</v>
      </c>
      <c r="C1134">
        <v>9406582649</v>
      </c>
      <c r="D1134" s="2">
        <v>1</v>
      </c>
      <c r="E1134" t="str">
        <f>"4574674200707446"</f>
        <v>4574674200707446</v>
      </c>
      <c r="F1134" t="str">
        <f>"949"</f>
        <v>949</v>
      </c>
      <c r="G1134">
        <v>1</v>
      </c>
      <c r="H1134">
        <v>2023</v>
      </c>
      <c r="I1134" t="s">
        <v>1249</v>
      </c>
    </row>
    <row r="1135" spans="1:9" x14ac:dyDescent="0.3">
      <c r="A1135" t="s">
        <v>10148</v>
      </c>
      <c r="B1135" t="s">
        <v>93</v>
      </c>
      <c r="C1135">
        <v>9406582649</v>
      </c>
      <c r="D1135" s="2">
        <v>1</v>
      </c>
      <c r="E1135" t="str">
        <f>"4574674200707198"</f>
        <v>4574674200707198</v>
      </c>
      <c r="F1135" t="str">
        <f>"778"</f>
        <v>778</v>
      </c>
      <c r="G1135">
        <v>1</v>
      </c>
      <c r="H1135">
        <v>2023</v>
      </c>
      <c r="I1135" t="s">
        <v>1250</v>
      </c>
    </row>
    <row r="1136" spans="1:9" x14ac:dyDescent="0.3">
      <c r="A1136" t="s">
        <v>10148</v>
      </c>
      <c r="B1136" t="s">
        <v>93</v>
      </c>
      <c r="C1136">
        <v>9406582649</v>
      </c>
      <c r="D1136" s="2">
        <v>1</v>
      </c>
      <c r="E1136" t="str">
        <f>"4574674200707610"</f>
        <v>4574674200707610</v>
      </c>
      <c r="F1136" t="str">
        <f>"291"</f>
        <v>291</v>
      </c>
      <c r="G1136">
        <v>1</v>
      </c>
      <c r="H1136">
        <v>2023</v>
      </c>
      <c r="I1136" t="s">
        <v>1251</v>
      </c>
    </row>
    <row r="1137" spans="1:9" x14ac:dyDescent="0.3">
      <c r="A1137" t="s">
        <v>10148</v>
      </c>
      <c r="B1137" t="s">
        <v>93</v>
      </c>
      <c r="C1137">
        <v>9406582649</v>
      </c>
      <c r="D1137" s="2">
        <v>1</v>
      </c>
      <c r="E1137" t="str">
        <f>"4574674200707644"</f>
        <v>4574674200707644</v>
      </c>
      <c r="F1137" t="str">
        <f>"959"</f>
        <v>959</v>
      </c>
      <c r="G1137">
        <v>1</v>
      </c>
      <c r="H1137">
        <v>2023</v>
      </c>
      <c r="I1137" t="s">
        <v>1252</v>
      </c>
    </row>
    <row r="1138" spans="1:9" x14ac:dyDescent="0.3">
      <c r="A1138" t="s">
        <v>10148</v>
      </c>
      <c r="B1138" t="s">
        <v>93</v>
      </c>
      <c r="C1138">
        <v>9406582649</v>
      </c>
      <c r="D1138" s="2">
        <v>1</v>
      </c>
      <c r="E1138" t="str">
        <f>"4574674200707636"</f>
        <v>4574674200707636</v>
      </c>
      <c r="F1138" t="str">
        <f>"034"</f>
        <v>034</v>
      </c>
      <c r="G1138">
        <v>1</v>
      </c>
      <c r="H1138">
        <v>2023</v>
      </c>
      <c r="I1138" t="s">
        <v>1253</v>
      </c>
    </row>
    <row r="1139" spans="1:9" x14ac:dyDescent="0.3">
      <c r="A1139" t="s">
        <v>10148</v>
      </c>
      <c r="B1139" t="s">
        <v>93</v>
      </c>
      <c r="C1139">
        <v>9406582649</v>
      </c>
      <c r="D1139" s="2">
        <v>1</v>
      </c>
      <c r="E1139" t="str">
        <f>"4574674200707651"</f>
        <v>4574674200707651</v>
      </c>
      <c r="F1139" t="str">
        <f>"467"</f>
        <v>467</v>
      </c>
      <c r="G1139">
        <v>1</v>
      </c>
      <c r="H1139">
        <v>2023</v>
      </c>
      <c r="I1139" t="s">
        <v>1254</v>
      </c>
    </row>
    <row r="1140" spans="1:9" x14ac:dyDescent="0.3">
      <c r="A1140" t="s">
        <v>10148</v>
      </c>
      <c r="B1140" t="s">
        <v>93</v>
      </c>
      <c r="C1140">
        <v>9406582649</v>
      </c>
      <c r="D1140" s="2">
        <v>1</v>
      </c>
      <c r="E1140" t="str">
        <f>"4574674200707826"</f>
        <v>4574674200707826</v>
      </c>
      <c r="F1140" t="str">
        <f>"079"</f>
        <v>079</v>
      </c>
      <c r="G1140">
        <v>1</v>
      </c>
      <c r="H1140">
        <v>2023</v>
      </c>
      <c r="I1140" t="s">
        <v>1255</v>
      </c>
    </row>
    <row r="1141" spans="1:9" x14ac:dyDescent="0.3">
      <c r="A1141" t="s">
        <v>10148</v>
      </c>
      <c r="B1141" t="s">
        <v>93</v>
      </c>
      <c r="C1141">
        <v>9406582649</v>
      </c>
      <c r="D1141" s="2">
        <v>1</v>
      </c>
      <c r="E1141" t="str">
        <f>"4574674200707701"</f>
        <v>4574674200707701</v>
      </c>
      <c r="F1141" t="str">
        <f>"492"</f>
        <v>492</v>
      </c>
      <c r="G1141">
        <v>1</v>
      </c>
      <c r="H1141">
        <v>2023</v>
      </c>
      <c r="I1141" t="s">
        <v>1256</v>
      </c>
    </row>
    <row r="1142" spans="1:9" x14ac:dyDescent="0.3">
      <c r="A1142" t="s">
        <v>10149</v>
      </c>
      <c r="B1142" t="s">
        <v>94</v>
      </c>
      <c r="C1142">
        <v>9406582649</v>
      </c>
      <c r="D1142" s="2">
        <v>1</v>
      </c>
      <c r="E1142" t="str">
        <f>"4574674200707719"</f>
        <v>4574674200707719</v>
      </c>
      <c r="F1142" t="str">
        <f>"288"</f>
        <v>288</v>
      </c>
      <c r="G1142">
        <v>1</v>
      </c>
      <c r="H1142">
        <v>2023</v>
      </c>
      <c r="I1142" t="s">
        <v>1257</v>
      </c>
    </row>
    <row r="1143" spans="1:9" x14ac:dyDescent="0.3">
      <c r="A1143" t="s">
        <v>10149</v>
      </c>
      <c r="B1143" t="s">
        <v>94</v>
      </c>
      <c r="C1143">
        <v>9406582649</v>
      </c>
      <c r="D1143" s="2">
        <v>1</v>
      </c>
      <c r="E1143" t="str">
        <f>"4574674200707727"</f>
        <v>4574674200707727</v>
      </c>
      <c r="F1143" t="str">
        <f>"321"</f>
        <v>321</v>
      </c>
      <c r="G1143">
        <v>1</v>
      </c>
      <c r="H1143">
        <v>2023</v>
      </c>
      <c r="I1143" t="s">
        <v>1258</v>
      </c>
    </row>
    <row r="1144" spans="1:9" x14ac:dyDescent="0.3">
      <c r="A1144" t="s">
        <v>10149</v>
      </c>
      <c r="B1144" t="s">
        <v>94</v>
      </c>
      <c r="C1144">
        <v>9406582649</v>
      </c>
      <c r="D1144" s="2">
        <v>1</v>
      </c>
      <c r="E1144" t="str">
        <f>"4574674200707750"</f>
        <v>4574674200707750</v>
      </c>
      <c r="F1144" t="str">
        <f>"443"</f>
        <v>443</v>
      </c>
      <c r="G1144">
        <v>1</v>
      </c>
      <c r="H1144">
        <v>2023</v>
      </c>
      <c r="I1144" t="s">
        <v>1259</v>
      </c>
    </row>
    <row r="1145" spans="1:9" x14ac:dyDescent="0.3">
      <c r="A1145" t="s">
        <v>10149</v>
      </c>
      <c r="B1145" t="s">
        <v>94</v>
      </c>
      <c r="C1145">
        <v>9406582649</v>
      </c>
      <c r="D1145" s="2">
        <v>1</v>
      </c>
      <c r="E1145" t="str">
        <f>"4574674200707743"</f>
        <v>4574674200707743</v>
      </c>
      <c r="F1145" t="str">
        <f>"499"</f>
        <v>499</v>
      </c>
      <c r="G1145">
        <v>1</v>
      </c>
      <c r="H1145">
        <v>2023</v>
      </c>
      <c r="I1145" t="s">
        <v>1260</v>
      </c>
    </row>
    <row r="1146" spans="1:9" x14ac:dyDescent="0.3">
      <c r="A1146" t="s">
        <v>10149</v>
      </c>
      <c r="B1146" t="s">
        <v>94</v>
      </c>
      <c r="C1146">
        <v>9406582649</v>
      </c>
      <c r="D1146" s="2">
        <v>1</v>
      </c>
      <c r="E1146" t="str">
        <f>"4574674200707990"</f>
        <v>4574674200707990</v>
      </c>
      <c r="F1146" t="str">
        <f>"643"</f>
        <v>643</v>
      </c>
      <c r="G1146">
        <v>1</v>
      </c>
      <c r="H1146">
        <v>2023</v>
      </c>
      <c r="I1146" t="s">
        <v>1261</v>
      </c>
    </row>
    <row r="1147" spans="1:9" x14ac:dyDescent="0.3">
      <c r="A1147" t="s">
        <v>10149</v>
      </c>
      <c r="B1147" t="s">
        <v>94</v>
      </c>
      <c r="C1147">
        <v>9406582649</v>
      </c>
      <c r="D1147" s="2">
        <v>1</v>
      </c>
      <c r="E1147" t="str">
        <f>"4574674200707776"</f>
        <v>4574674200707776</v>
      </c>
      <c r="F1147" t="str">
        <f>"813"</f>
        <v>813</v>
      </c>
      <c r="G1147">
        <v>1</v>
      </c>
      <c r="H1147">
        <v>2023</v>
      </c>
      <c r="I1147" t="s">
        <v>1262</v>
      </c>
    </row>
    <row r="1148" spans="1:9" x14ac:dyDescent="0.3">
      <c r="A1148" t="s">
        <v>10149</v>
      </c>
      <c r="B1148" t="s">
        <v>94</v>
      </c>
      <c r="C1148">
        <v>9406582649</v>
      </c>
      <c r="D1148" s="2">
        <v>1</v>
      </c>
      <c r="E1148" t="str">
        <f>"4574674200708220"</f>
        <v>4574674200708220</v>
      </c>
      <c r="F1148" t="str">
        <f>"145"</f>
        <v>145</v>
      </c>
      <c r="G1148">
        <v>1</v>
      </c>
      <c r="H1148">
        <v>2023</v>
      </c>
      <c r="I1148" t="s">
        <v>1263</v>
      </c>
    </row>
    <row r="1149" spans="1:9" x14ac:dyDescent="0.3">
      <c r="A1149" t="s">
        <v>10149</v>
      </c>
      <c r="B1149" t="s">
        <v>94</v>
      </c>
      <c r="C1149">
        <v>9406582649</v>
      </c>
      <c r="D1149" s="2">
        <v>1</v>
      </c>
      <c r="E1149" t="str">
        <f>"4574674200708238"</f>
        <v>4574674200708238</v>
      </c>
      <c r="F1149" t="str">
        <f>"805"</f>
        <v>805</v>
      </c>
      <c r="G1149">
        <v>1</v>
      </c>
      <c r="H1149">
        <v>2023</v>
      </c>
      <c r="I1149" t="s">
        <v>1264</v>
      </c>
    </row>
    <row r="1150" spans="1:9" x14ac:dyDescent="0.3">
      <c r="A1150" t="s">
        <v>10149</v>
      </c>
      <c r="B1150" t="s">
        <v>94</v>
      </c>
      <c r="C1150">
        <v>9406582649</v>
      </c>
      <c r="D1150" s="2">
        <v>1</v>
      </c>
      <c r="E1150" t="str">
        <f>"4574674200708246"</f>
        <v>4574674200708246</v>
      </c>
      <c r="F1150" t="str">
        <f>"194"</f>
        <v>194</v>
      </c>
      <c r="G1150">
        <v>1</v>
      </c>
      <c r="H1150">
        <v>2023</v>
      </c>
      <c r="I1150" t="s">
        <v>1265</v>
      </c>
    </row>
    <row r="1151" spans="1:9" x14ac:dyDescent="0.3">
      <c r="A1151" t="s">
        <v>10149</v>
      </c>
      <c r="B1151" t="s">
        <v>94</v>
      </c>
      <c r="C1151">
        <v>9406582649</v>
      </c>
      <c r="D1151" s="2">
        <v>1</v>
      </c>
      <c r="E1151" t="str">
        <f>"4574674200708196"</f>
        <v>4574674200708196</v>
      </c>
      <c r="F1151" t="str">
        <f>"773"</f>
        <v>773</v>
      </c>
      <c r="G1151">
        <v>1</v>
      </c>
      <c r="H1151">
        <v>2023</v>
      </c>
      <c r="I1151" t="s">
        <v>1266</v>
      </c>
    </row>
    <row r="1152" spans="1:9" x14ac:dyDescent="0.3">
      <c r="A1152" t="s">
        <v>10118</v>
      </c>
      <c r="B1152" t="s">
        <v>95</v>
      </c>
      <c r="C1152">
        <v>9406582649</v>
      </c>
      <c r="D1152" s="2">
        <v>1</v>
      </c>
      <c r="E1152" t="str">
        <f>"4574674200708261"</f>
        <v>4574674200708261</v>
      </c>
      <c r="F1152" t="str">
        <f>"534"</f>
        <v>534</v>
      </c>
      <c r="G1152">
        <v>1</v>
      </c>
      <c r="H1152">
        <v>2023</v>
      </c>
      <c r="I1152" t="s">
        <v>1267</v>
      </c>
    </row>
    <row r="1153" spans="1:9" x14ac:dyDescent="0.3">
      <c r="A1153" t="s">
        <v>10118</v>
      </c>
      <c r="B1153" t="s">
        <v>95</v>
      </c>
      <c r="C1153">
        <v>9406582649</v>
      </c>
      <c r="D1153" s="2">
        <v>1</v>
      </c>
      <c r="E1153" t="str">
        <f>"4574674200708279"</f>
        <v>4574674200708279</v>
      </c>
      <c r="F1153" t="str">
        <f>"738"</f>
        <v>738</v>
      </c>
      <c r="G1153">
        <v>1</v>
      </c>
      <c r="H1153">
        <v>2023</v>
      </c>
      <c r="I1153" t="s">
        <v>1268</v>
      </c>
    </row>
    <row r="1154" spans="1:9" x14ac:dyDescent="0.3">
      <c r="A1154" t="s">
        <v>10118</v>
      </c>
      <c r="B1154" t="s">
        <v>95</v>
      </c>
      <c r="C1154">
        <v>9406582649</v>
      </c>
      <c r="D1154" s="2">
        <v>1</v>
      </c>
      <c r="E1154" t="str">
        <f>"4574674200708295"</f>
        <v>4574674200708295</v>
      </c>
      <c r="F1154" t="str">
        <f>"680"</f>
        <v>680</v>
      </c>
      <c r="G1154">
        <v>1</v>
      </c>
      <c r="H1154">
        <v>2023</v>
      </c>
      <c r="I1154" t="s">
        <v>1269</v>
      </c>
    </row>
    <row r="1155" spans="1:9" x14ac:dyDescent="0.3">
      <c r="A1155" t="s">
        <v>10118</v>
      </c>
      <c r="B1155" t="s">
        <v>95</v>
      </c>
      <c r="C1155">
        <v>9406582649</v>
      </c>
      <c r="D1155" s="2">
        <v>1</v>
      </c>
      <c r="E1155" t="str">
        <f>"4574674200708527"</f>
        <v>4574674200708527</v>
      </c>
      <c r="F1155" t="str">
        <f>"092"</f>
        <v>092</v>
      </c>
      <c r="G1155">
        <v>1</v>
      </c>
      <c r="H1155">
        <v>2023</v>
      </c>
      <c r="I1155" t="s">
        <v>1270</v>
      </c>
    </row>
    <row r="1156" spans="1:9" x14ac:dyDescent="0.3">
      <c r="A1156" t="s">
        <v>10118</v>
      </c>
      <c r="B1156" t="s">
        <v>95</v>
      </c>
      <c r="C1156">
        <v>9406582649</v>
      </c>
      <c r="D1156" s="2">
        <v>1</v>
      </c>
      <c r="E1156" t="str">
        <f>"4574674200708337"</f>
        <v>4574674200708337</v>
      </c>
      <c r="F1156" t="str">
        <f>"233"</f>
        <v>233</v>
      </c>
      <c r="G1156">
        <v>1</v>
      </c>
      <c r="H1156">
        <v>2023</v>
      </c>
      <c r="I1156" t="s">
        <v>1271</v>
      </c>
    </row>
    <row r="1157" spans="1:9" x14ac:dyDescent="0.3">
      <c r="A1157" t="s">
        <v>10118</v>
      </c>
      <c r="B1157" t="s">
        <v>95</v>
      </c>
      <c r="C1157">
        <v>9406582649</v>
      </c>
      <c r="D1157" s="2">
        <v>1</v>
      </c>
      <c r="E1157" t="str">
        <f>"4574674200708345"</f>
        <v>4574674200708345</v>
      </c>
      <c r="F1157" t="str">
        <f>"963"</f>
        <v>963</v>
      </c>
      <c r="G1157">
        <v>1</v>
      </c>
      <c r="H1157">
        <v>2023</v>
      </c>
      <c r="I1157" t="s">
        <v>1272</v>
      </c>
    </row>
    <row r="1158" spans="1:9" x14ac:dyDescent="0.3">
      <c r="A1158" t="s">
        <v>10118</v>
      </c>
      <c r="B1158" t="s">
        <v>95</v>
      </c>
      <c r="C1158">
        <v>9406582649</v>
      </c>
      <c r="D1158" s="2">
        <v>1</v>
      </c>
      <c r="E1158" t="str">
        <f>"4574674200708360"</f>
        <v>4574674200708360</v>
      </c>
      <c r="F1158" t="str">
        <f>"639"</f>
        <v>639</v>
      </c>
      <c r="G1158">
        <v>1</v>
      </c>
      <c r="H1158">
        <v>2023</v>
      </c>
      <c r="I1158" t="s">
        <v>1273</v>
      </c>
    </row>
    <row r="1159" spans="1:9" x14ac:dyDescent="0.3">
      <c r="A1159" t="s">
        <v>10118</v>
      </c>
      <c r="B1159" t="s">
        <v>95</v>
      </c>
      <c r="C1159">
        <v>9406582649</v>
      </c>
      <c r="D1159" s="2">
        <v>1</v>
      </c>
      <c r="E1159" t="str">
        <f>"4574674200708394"</f>
        <v>4574674200708394</v>
      </c>
      <c r="F1159" t="str">
        <f>"150"</f>
        <v>150</v>
      </c>
      <c r="G1159">
        <v>1</v>
      </c>
      <c r="H1159">
        <v>2023</v>
      </c>
      <c r="I1159" t="s">
        <v>1274</v>
      </c>
    </row>
    <row r="1160" spans="1:9" x14ac:dyDescent="0.3">
      <c r="A1160" t="s">
        <v>10118</v>
      </c>
      <c r="B1160" t="s">
        <v>95</v>
      </c>
      <c r="C1160">
        <v>9406582649</v>
      </c>
      <c r="D1160" s="2">
        <v>1</v>
      </c>
      <c r="E1160" t="str">
        <f>"4574674200708386"</f>
        <v>4574674200708386</v>
      </c>
      <c r="F1160" t="str">
        <f>"487"</f>
        <v>487</v>
      </c>
      <c r="G1160">
        <v>1</v>
      </c>
      <c r="H1160">
        <v>2023</v>
      </c>
      <c r="I1160" t="s">
        <v>1275</v>
      </c>
    </row>
    <row r="1161" spans="1:9" x14ac:dyDescent="0.3">
      <c r="A1161" t="s">
        <v>10118</v>
      </c>
      <c r="B1161" t="s">
        <v>95</v>
      </c>
      <c r="C1161">
        <v>9406582649</v>
      </c>
      <c r="D1161" s="2">
        <v>1</v>
      </c>
      <c r="E1161" t="str">
        <f>"4574674200708808"</f>
        <v>4574674200708808</v>
      </c>
      <c r="F1161" t="str">
        <f>"725"</f>
        <v>725</v>
      </c>
      <c r="G1161">
        <v>1</v>
      </c>
      <c r="H1161">
        <v>2023</v>
      </c>
      <c r="I1161" t="s">
        <v>1276</v>
      </c>
    </row>
    <row r="1162" spans="1:9" x14ac:dyDescent="0.3">
      <c r="A1162" t="s">
        <v>10119</v>
      </c>
      <c r="B1162" t="s">
        <v>96</v>
      </c>
      <c r="C1162">
        <v>9406582649</v>
      </c>
      <c r="D1162" s="2">
        <v>1</v>
      </c>
      <c r="E1162" t="str">
        <f>"4574674200708709"</f>
        <v>4574674200708709</v>
      </c>
      <c r="F1162" t="str">
        <f>"081"</f>
        <v>081</v>
      </c>
      <c r="G1162">
        <v>1</v>
      </c>
      <c r="H1162">
        <v>2023</v>
      </c>
      <c r="I1162" t="s">
        <v>1277</v>
      </c>
    </row>
    <row r="1163" spans="1:9" x14ac:dyDescent="0.3">
      <c r="A1163" t="s">
        <v>10119</v>
      </c>
      <c r="B1163" t="s">
        <v>96</v>
      </c>
      <c r="C1163">
        <v>9406582649</v>
      </c>
      <c r="D1163" s="2">
        <v>1</v>
      </c>
      <c r="E1163" t="str">
        <f>"4574674200708832"</f>
        <v>4574674200708832</v>
      </c>
      <c r="F1163" t="str">
        <f>"854"</f>
        <v>854</v>
      </c>
      <c r="G1163">
        <v>1</v>
      </c>
      <c r="H1163">
        <v>2023</v>
      </c>
      <c r="I1163" t="s">
        <v>1278</v>
      </c>
    </row>
    <row r="1164" spans="1:9" x14ac:dyDescent="0.3">
      <c r="A1164" t="s">
        <v>10119</v>
      </c>
      <c r="B1164" t="s">
        <v>96</v>
      </c>
      <c r="C1164">
        <v>9406582649</v>
      </c>
      <c r="D1164" s="2">
        <v>1</v>
      </c>
      <c r="E1164" t="str">
        <f>"4574674200708865"</f>
        <v>4574674200708865</v>
      </c>
      <c r="F1164" t="str">
        <f>"620"</f>
        <v>620</v>
      </c>
      <c r="G1164">
        <v>1</v>
      </c>
      <c r="H1164">
        <v>2023</v>
      </c>
      <c r="I1164" t="s">
        <v>1279</v>
      </c>
    </row>
    <row r="1165" spans="1:9" x14ac:dyDescent="0.3">
      <c r="A1165" t="s">
        <v>10119</v>
      </c>
      <c r="B1165" t="s">
        <v>96</v>
      </c>
      <c r="C1165">
        <v>9406582649</v>
      </c>
      <c r="D1165" s="2">
        <v>1</v>
      </c>
      <c r="E1165" t="str">
        <f>"4574674200708899"</f>
        <v>4574674200708899</v>
      </c>
      <c r="F1165" t="str">
        <f>"271"</f>
        <v>271</v>
      </c>
      <c r="G1165">
        <v>1</v>
      </c>
      <c r="H1165">
        <v>2023</v>
      </c>
      <c r="I1165" t="s">
        <v>1280</v>
      </c>
    </row>
    <row r="1166" spans="1:9" x14ac:dyDescent="0.3">
      <c r="A1166" t="s">
        <v>10119</v>
      </c>
      <c r="B1166" t="s">
        <v>96</v>
      </c>
      <c r="C1166">
        <v>9406582649</v>
      </c>
      <c r="D1166" s="2">
        <v>1</v>
      </c>
      <c r="E1166" t="str">
        <f>"4574674200709095"</f>
        <v>4574674200709095</v>
      </c>
      <c r="F1166" t="str">
        <f>"204"</f>
        <v>204</v>
      </c>
      <c r="G1166">
        <v>1</v>
      </c>
      <c r="H1166">
        <v>2023</v>
      </c>
      <c r="I1166" t="s">
        <v>1281</v>
      </c>
    </row>
    <row r="1167" spans="1:9" x14ac:dyDescent="0.3">
      <c r="A1167" t="s">
        <v>10119</v>
      </c>
      <c r="B1167" t="s">
        <v>96</v>
      </c>
      <c r="C1167">
        <v>9406582649</v>
      </c>
      <c r="D1167" s="2">
        <v>1</v>
      </c>
      <c r="E1167" t="str">
        <f>"4574674200708907"</f>
        <v>4574674200708907</v>
      </c>
      <c r="F1167" t="str">
        <f>"949"</f>
        <v>949</v>
      </c>
      <c r="G1167">
        <v>1</v>
      </c>
      <c r="H1167">
        <v>2023</v>
      </c>
      <c r="I1167" t="s">
        <v>1282</v>
      </c>
    </row>
    <row r="1168" spans="1:9" x14ac:dyDescent="0.3">
      <c r="A1168" t="s">
        <v>10119</v>
      </c>
      <c r="B1168" t="s">
        <v>96</v>
      </c>
      <c r="C1168">
        <v>9406582649</v>
      </c>
      <c r="D1168" s="2">
        <v>1</v>
      </c>
      <c r="E1168" t="str">
        <f>"4574674200708923"</f>
        <v>4574674200708923</v>
      </c>
      <c r="F1168" t="str">
        <f>"957"</f>
        <v>957</v>
      </c>
      <c r="G1168">
        <v>1</v>
      </c>
      <c r="H1168">
        <v>2023</v>
      </c>
      <c r="I1168" t="s">
        <v>1283</v>
      </c>
    </row>
    <row r="1169" spans="1:9" x14ac:dyDescent="0.3">
      <c r="A1169" t="s">
        <v>10119</v>
      </c>
      <c r="B1169" t="s">
        <v>96</v>
      </c>
      <c r="C1169">
        <v>9406582649</v>
      </c>
      <c r="D1169" s="2">
        <v>1</v>
      </c>
      <c r="E1169" t="str">
        <f>"4574674200708915"</f>
        <v>4574674200708915</v>
      </c>
      <c r="F1169" t="str">
        <f>"213"</f>
        <v>213</v>
      </c>
      <c r="G1169">
        <v>1</v>
      </c>
      <c r="H1169">
        <v>2023</v>
      </c>
      <c r="I1169" t="s">
        <v>1284</v>
      </c>
    </row>
    <row r="1170" spans="1:9" x14ac:dyDescent="0.3">
      <c r="A1170" t="s">
        <v>10119</v>
      </c>
      <c r="B1170" t="s">
        <v>96</v>
      </c>
      <c r="C1170">
        <v>9406582649</v>
      </c>
      <c r="D1170" s="2">
        <v>1</v>
      </c>
      <c r="E1170" t="str">
        <f>"4574674200708956"</f>
        <v>4574674200708956</v>
      </c>
      <c r="F1170" t="str">
        <f>"817"</f>
        <v>817</v>
      </c>
      <c r="G1170">
        <v>1</v>
      </c>
      <c r="H1170">
        <v>2023</v>
      </c>
      <c r="I1170" t="s">
        <v>1285</v>
      </c>
    </row>
    <row r="1171" spans="1:9" x14ac:dyDescent="0.3">
      <c r="A1171" t="s">
        <v>10119</v>
      </c>
      <c r="B1171" t="s">
        <v>96</v>
      </c>
      <c r="C1171">
        <v>9406582649</v>
      </c>
      <c r="D1171" s="2">
        <v>1</v>
      </c>
      <c r="E1171" t="str">
        <f>"4574674200708964"</f>
        <v>4574674200708964</v>
      </c>
      <c r="F1171" t="str">
        <f>"295"</f>
        <v>295</v>
      </c>
      <c r="G1171">
        <v>1</v>
      </c>
      <c r="H1171">
        <v>2023</v>
      </c>
      <c r="I1171" t="s">
        <v>1286</v>
      </c>
    </row>
    <row r="1172" spans="1:9" x14ac:dyDescent="0.3">
      <c r="A1172" t="s">
        <v>10120</v>
      </c>
      <c r="B1172" t="s">
        <v>97</v>
      </c>
      <c r="C1172">
        <v>9406582649</v>
      </c>
      <c r="D1172" s="2">
        <v>1</v>
      </c>
      <c r="E1172" t="str">
        <f>"4574674200709269"</f>
        <v>4574674200709269</v>
      </c>
      <c r="F1172" t="str">
        <f>"403"</f>
        <v>403</v>
      </c>
      <c r="G1172">
        <v>1</v>
      </c>
      <c r="H1172">
        <v>2023</v>
      </c>
      <c r="I1172" t="s">
        <v>1287</v>
      </c>
    </row>
    <row r="1173" spans="1:9" x14ac:dyDescent="0.3">
      <c r="A1173" t="s">
        <v>10120</v>
      </c>
      <c r="B1173" t="s">
        <v>97</v>
      </c>
      <c r="C1173">
        <v>9406582649</v>
      </c>
      <c r="D1173" s="2">
        <v>1</v>
      </c>
      <c r="E1173" t="str">
        <f>"4574674200709418"</f>
        <v>4574674200709418</v>
      </c>
      <c r="F1173" t="str">
        <f>"510"</f>
        <v>510</v>
      </c>
      <c r="G1173">
        <v>1</v>
      </c>
      <c r="H1173">
        <v>2023</v>
      </c>
      <c r="I1173" t="s">
        <v>1288</v>
      </c>
    </row>
    <row r="1174" spans="1:9" x14ac:dyDescent="0.3">
      <c r="A1174" t="s">
        <v>10120</v>
      </c>
      <c r="B1174" t="s">
        <v>97</v>
      </c>
      <c r="C1174">
        <v>9406582649</v>
      </c>
      <c r="D1174" s="2">
        <v>1</v>
      </c>
      <c r="E1174" t="str">
        <f>"4574674200708998"</f>
        <v>4574674200708998</v>
      </c>
      <c r="F1174" t="str">
        <f>"316"</f>
        <v>316</v>
      </c>
      <c r="G1174">
        <v>1</v>
      </c>
      <c r="H1174">
        <v>2023</v>
      </c>
      <c r="I1174" t="s">
        <v>1289</v>
      </c>
    </row>
    <row r="1175" spans="1:9" x14ac:dyDescent="0.3">
      <c r="A1175" t="s">
        <v>10120</v>
      </c>
      <c r="B1175" t="s">
        <v>97</v>
      </c>
      <c r="C1175">
        <v>9406582649</v>
      </c>
      <c r="D1175" s="2">
        <v>1</v>
      </c>
      <c r="E1175" t="str">
        <f>"4574674200709574"</f>
        <v>4574674200709574</v>
      </c>
      <c r="F1175" t="str">
        <f>"980"</f>
        <v>980</v>
      </c>
      <c r="G1175">
        <v>1</v>
      </c>
      <c r="H1175">
        <v>2023</v>
      </c>
      <c r="I1175" t="s">
        <v>1290</v>
      </c>
    </row>
    <row r="1176" spans="1:9" x14ac:dyDescent="0.3">
      <c r="A1176" t="s">
        <v>10120</v>
      </c>
      <c r="B1176" t="s">
        <v>97</v>
      </c>
      <c r="C1176">
        <v>9406582649</v>
      </c>
      <c r="D1176" s="2">
        <v>1</v>
      </c>
      <c r="E1176" t="str">
        <f>"4574674200709632"</f>
        <v>4574674200709632</v>
      </c>
      <c r="F1176" t="str">
        <f>"774"</f>
        <v>774</v>
      </c>
      <c r="G1176">
        <v>1</v>
      </c>
      <c r="H1176">
        <v>2023</v>
      </c>
      <c r="I1176" t="s">
        <v>1291</v>
      </c>
    </row>
    <row r="1177" spans="1:9" x14ac:dyDescent="0.3">
      <c r="A1177" t="s">
        <v>10120</v>
      </c>
      <c r="B1177" t="s">
        <v>97</v>
      </c>
      <c r="C1177">
        <v>9406582649</v>
      </c>
      <c r="D1177" s="2">
        <v>1</v>
      </c>
      <c r="E1177" t="str">
        <f>"4574674200709699"</f>
        <v>4574674200709699</v>
      </c>
      <c r="F1177" t="str">
        <f>"757"</f>
        <v>757</v>
      </c>
      <c r="G1177">
        <v>1</v>
      </c>
      <c r="H1177">
        <v>2023</v>
      </c>
      <c r="I1177" t="s">
        <v>1292</v>
      </c>
    </row>
    <row r="1178" spans="1:9" x14ac:dyDescent="0.3">
      <c r="A1178" t="s">
        <v>10120</v>
      </c>
      <c r="B1178" t="s">
        <v>97</v>
      </c>
      <c r="C1178">
        <v>9406582649</v>
      </c>
      <c r="D1178" s="2">
        <v>1</v>
      </c>
      <c r="E1178" t="str">
        <f>"4574674200709657"</f>
        <v>4574674200709657</v>
      </c>
      <c r="F1178" t="str">
        <f>"470"</f>
        <v>470</v>
      </c>
      <c r="G1178">
        <v>1</v>
      </c>
      <c r="H1178">
        <v>2023</v>
      </c>
      <c r="I1178" t="s">
        <v>1293</v>
      </c>
    </row>
    <row r="1179" spans="1:9" x14ac:dyDescent="0.3">
      <c r="A1179" t="s">
        <v>10120</v>
      </c>
      <c r="B1179" t="s">
        <v>97</v>
      </c>
      <c r="C1179">
        <v>9406582649</v>
      </c>
      <c r="D1179" s="2">
        <v>1</v>
      </c>
      <c r="E1179" t="str">
        <f>"4574674200709673"</f>
        <v>4574674200709673</v>
      </c>
      <c r="F1179" t="str">
        <f>"837"</f>
        <v>837</v>
      </c>
      <c r="G1179">
        <v>1</v>
      </c>
      <c r="H1179">
        <v>2023</v>
      </c>
      <c r="I1179" t="s">
        <v>1294</v>
      </c>
    </row>
    <row r="1180" spans="1:9" x14ac:dyDescent="0.3">
      <c r="A1180" t="s">
        <v>10120</v>
      </c>
      <c r="B1180" t="s">
        <v>97</v>
      </c>
      <c r="C1180">
        <v>9406582649</v>
      </c>
      <c r="D1180" s="2">
        <v>1</v>
      </c>
      <c r="E1180" t="str">
        <f>"4574674200709707"</f>
        <v>4574674200709707</v>
      </c>
      <c r="F1180" t="str">
        <f>"465"</f>
        <v>465</v>
      </c>
      <c r="G1180">
        <v>1</v>
      </c>
      <c r="H1180">
        <v>2023</v>
      </c>
      <c r="I1180" t="s">
        <v>1295</v>
      </c>
    </row>
    <row r="1181" spans="1:9" x14ac:dyDescent="0.3">
      <c r="A1181" t="s">
        <v>10120</v>
      </c>
      <c r="B1181" t="s">
        <v>97</v>
      </c>
      <c r="C1181">
        <v>9406582649</v>
      </c>
      <c r="D1181" s="2">
        <v>1</v>
      </c>
      <c r="E1181" t="str">
        <f>"4574674200709715"</f>
        <v>4574674200709715</v>
      </c>
      <c r="F1181" t="str">
        <f>"276"</f>
        <v>276</v>
      </c>
      <c r="G1181">
        <v>1</v>
      </c>
      <c r="H1181">
        <v>2023</v>
      </c>
      <c r="I1181" t="s">
        <v>1296</v>
      </c>
    </row>
    <row r="1182" spans="1:9" x14ac:dyDescent="0.3">
      <c r="A1182" t="s">
        <v>10121</v>
      </c>
      <c r="B1182" t="s">
        <v>98</v>
      </c>
      <c r="C1182">
        <v>9406582649</v>
      </c>
      <c r="D1182" s="2">
        <v>1</v>
      </c>
      <c r="E1182" t="str">
        <f>"4574674200709921"</f>
        <v>4574674200709921</v>
      </c>
      <c r="F1182" t="str">
        <f>"948"</f>
        <v>948</v>
      </c>
      <c r="G1182">
        <v>1</v>
      </c>
      <c r="H1182">
        <v>2023</v>
      </c>
      <c r="I1182" t="s">
        <v>1297</v>
      </c>
    </row>
    <row r="1183" spans="1:9" x14ac:dyDescent="0.3">
      <c r="A1183" t="s">
        <v>10121</v>
      </c>
      <c r="B1183" t="s">
        <v>98</v>
      </c>
      <c r="C1183">
        <v>9406582649</v>
      </c>
      <c r="D1183" s="2">
        <v>1</v>
      </c>
      <c r="E1183" t="str">
        <f>"4574674200709749"</f>
        <v>4574674200709749</v>
      </c>
      <c r="F1183" t="str">
        <f>"152"</f>
        <v>152</v>
      </c>
      <c r="G1183">
        <v>1</v>
      </c>
      <c r="H1183">
        <v>2023</v>
      </c>
      <c r="I1183" t="s">
        <v>1298</v>
      </c>
    </row>
    <row r="1184" spans="1:9" x14ac:dyDescent="0.3">
      <c r="A1184" t="s">
        <v>10121</v>
      </c>
      <c r="B1184" t="s">
        <v>98</v>
      </c>
      <c r="C1184">
        <v>9406582649</v>
      </c>
      <c r="D1184" s="2">
        <v>1</v>
      </c>
      <c r="E1184" t="str">
        <f>"4574674200709756"</f>
        <v>4574674200709756</v>
      </c>
      <c r="F1184" t="str">
        <f>"350"</f>
        <v>350</v>
      </c>
      <c r="G1184">
        <v>1</v>
      </c>
      <c r="H1184">
        <v>2023</v>
      </c>
      <c r="I1184" t="s">
        <v>1299</v>
      </c>
    </row>
    <row r="1185" spans="1:9" x14ac:dyDescent="0.3">
      <c r="A1185" t="s">
        <v>10121</v>
      </c>
      <c r="B1185" t="s">
        <v>98</v>
      </c>
      <c r="C1185">
        <v>9406582649</v>
      </c>
      <c r="D1185" s="2">
        <v>1</v>
      </c>
      <c r="E1185" t="str">
        <f>"4574674200709772"</f>
        <v>4574674200709772</v>
      </c>
      <c r="F1185" t="str">
        <f>"562"</f>
        <v>562</v>
      </c>
      <c r="G1185">
        <v>1</v>
      </c>
      <c r="H1185">
        <v>2023</v>
      </c>
      <c r="I1185" t="s">
        <v>1300</v>
      </c>
    </row>
    <row r="1186" spans="1:9" x14ac:dyDescent="0.3">
      <c r="A1186" t="s">
        <v>10121</v>
      </c>
      <c r="B1186" t="s">
        <v>98</v>
      </c>
      <c r="C1186">
        <v>9406582649</v>
      </c>
      <c r="D1186" s="2">
        <v>1</v>
      </c>
      <c r="E1186" t="str">
        <f>"4574674200710101"</f>
        <v>4574674200710101</v>
      </c>
      <c r="F1186" t="str">
        <f>"447"</f>
        <v>447</v>
      </c>
      <c r="G1186">
        <v>1</v>
      </c>
      <c r="H1186">
        <v>2023</v>
      </c>
      <c r="I1186" t="s">
        <v>1301</v>
      </c>
    </row>
    <row r="1187" spans="1:9" x14ac:dyDescent="0.3">
      <c r="A1187" t="s">
        <v>10121</v>
      </c>
      <c r="B1187" t="s">
        <v>98</v>
      </c>
      <c r="C1187">
        <v>9406582649</v>
      </c>
      <c r="D1187" s="2">
        <v>1</v>
      </c>
      <c r="E1187" t="str">
        <f>"4574674200710200"</f>
        <v>4574674200710200</v>
      </c>
      <c r="F1187" t="str">
        <f>"681"</f>
        <v>681</v>
      </c>
      <c r="G1187">
        <v>1</v>
      </c>
      <c r="H1187">
        <v>2023</v>
      </c>
      <c r="I1187" t="s">
        <v>1302</v>
      </c>
    </row>
    <row r="1188" spans="1:9" x14ac:dyDescent="0.3">
      <c r="A1188" t="s">
        <v>10121</v>
      </c>
      <c r="B1188" t="s">
        <v>98</v>
      </c>
      <c r="C1188">
        <v>9406582649</v>
      </c>
      <c r="D1188" s="2">
        <v>1</v>
      </c>
      <c r="E1188" t="str">
        <f>"4574674200710218"</f>
        <v>4574674200710218</v>
      </c>
      <c r="F1188" t="str">
        <f>"956"</f>
        <v>956</v>
      </c>
      <c r="G1188">
        <v>1</v>
      </c>
      <c r="H1188">
        <v>2023</v>
      </c>
      <c r="I1188" t="s">
        <v>1303</v>
      </c>
    </row>
    <row r="1189" spans="1:9" x14ac:dyDescent="0.3">
      <c r="A1189" t="s">
        <v>10121</v>
      </c>
      <c r="B1189" t="s">
        <v>98</v>
      </c>
      <c r="C1189">
        <v>9406582649</v>
      </c>
      <c r="D1189" s="2">
        <v>1</v>
      </c>
      <c r="E1189" t="str">
        <f>"4574674200710259"</f>
        <v>4574674200710259</v>
      </c>
      <c r="F1189" t="str">
        <f>"253"</f>
        <v>253</v>
      </c>
      <c r="G1189">
        <v>1</v>
      </c>
      <c r="H1189">
        <v>2023</v>
      </c>
      <c r="I1189" t="s">
        <v>1304</v>
      </c>
    </row>
    <row r="1190" spans="1:9" x14ac:dyDescent="0.3">
      <c r="A1190" t="s">
        <v>10121</v>
      </c>
      <c r="B1190" t="s">
        <v>98</v>
      </c>
      <c r="C1190">
        <v>9406582649</v>
      </c>
      <c r="D1190" s="2">
        <v>1</v>
      </c>
      <c r="E1190" t="str">
        <f>"4574674200710275"</f>
        <v>4574674200710275</v>
      </c>
      <c r="F1190" t="str">
        <f>"515"</f>
        <v>515</v>
      </c>
      <c r="G1190">
        <v>1</v>
      </c>
      <c r="H1190">
        <v>2023</v>
      </c>
      <c r="I1190" t="s">
        <v>1305</v>
      </c>
    </row>
    <row r="1191" spans="1:9" x14ac:dyDescent="0.3">
      <c r="A1191" t="s">
        <v>10121</v>
      </c>
      <c r="B1191" t="s">
        <v>98</v>
      </c>
      <c r="C1191">
        <v>9406582649</v>
      </c>
      <c r="D1191" s="2">
        <v>1</v>
      </c>
      <c r="E1191" t="str">
        <f>"4574674200710283"</f>
        <v>4574674200710283</v>
      </c>
      <c r="F1191" t="str">
        <f>"293"</f>
        <v>293</v>
      </c>
      <c r="G1191">
        <v>1</v>
      </c>
      <c r="H1191">
        <v>2023</v>
      </c>
      <c r="I1191" t="s">
        <v>1306</v>
      </c>
    </row>
    <row r="1192" spans="1:9" x14ac:dyDescent="0.3">
      <c r="A1192" t="s">
        <v>10122</v>
      </c>
      <c r="B1192" t="s">
        <v>99</v>
      </c>
      <c r="C1192">
        <v>9406582649</v>
      </c>
      <c r="D1192" s="2">
        <v>1</v>
      </c>
      <c r="E1192" t="str">
        <f>"4574674200710465"</f>
        <v>4574674200710465</v>
      </c>
      <c r="F1192" t="str">
        <f>"481"</f>
        <v>481</v>
      </c>
      <c r="G1192">
        <v>1</v>
      </c>
      <c r="H1192">
        <v>2023</v>
      </c>
      <c r="I1192" t="s">
        <v>1307</v>
      </c>
    </row>
    <row r="1193" spans="1:9" x14ac:dyDescent="0.3">
      <c r="A1193" t="s">
        <v>10122</v>
      </c>
      <c r="B1193" t="s">
        <v>99</v>
      </c>
      <c r="C1193">
        <v>9406582649</v>
      </c>
      <c r="D1193" s="2">
        <v>1</v>
      </c>
      <c r="E1193" t="str">
        <f>"4574674200710333"</f>
        <v>4574674200710333</v>
      </c>
      <c r="F1193" t="str">
        <f>"714"</f>
        <v>714</v>
      </c>
      <c r="G1193">
        <v>1</v>
      </c>
      <c r="H1193">
        <v>2023</v>
      </c>
      <c r="I1193" t="s">
        <v>1308</v>
      </c>
    </row>
    <row r="1194" spans="1:9" x14ac:dyDescent="0.3">
      <c r="A1194" t="s">
        <v>10122</v>
      </c>
      <c r="B1194" t="s">
        <v>99</v>
      </c>
      <c r="C1194">
        <v>9406582649</v>
      </c>
      <c r="D1194" s="2">
        <v>1</v>
      </c>
      <c r="E1194" t="str">
        <f>"4574674200710325"</f>
        <v>4574674200710325</v>
      </c>
      <c r="F1194" t="str">
        <f>"842"</f>
        <v>842</v>
      </c>
      <c r="G1194">
        <v>1</v>
      </c>
      <c r="H1194">
        <v>2023</v>
      </c>
      <c r="I1194" t="s">
        <v>1309</v>
      </c>
    </row>
    <row r="1195" spans="1:9" x14ac:dyDescent="0.3">
      <c r="A1195" t="s">
        <v>10122</v>
      </c>
      <c r="B1195" t="s">
        <v>99</v>
      </c>
      <c r="C1195">
        <v>9406582649</v>
      </c>
      <c r="D1195" s="2">
        <v>1</v>
      </c>
      <c r="E1195" t="str">
        <f>"4574674200710341"</f>
        <v>4574674200710341</v>
      </c>
      <c r="F1195" t="str">
        <f>"287"</f>
        <v>287</v>
      </c>
      <c r="G1195">
        <v>1</v>
      </c>
      <c r="H1195">
        <v>2023</v>
      </c>
      <c r="I1195" t="s">
        <v>1310</v>
      </c>
    </row>
    <row r="1196" spans="1:9" x14ac:dyDescent="0.3">
      <c r="A1196" t="s">
        <v>10122</v>
      </c>
      <c r="B1196" t="s">
        <v>99</v>
      </c>
      <c r="C1196">
        <v>9406582649</v>
      </c>
      <c r="D1196" s="2">
        <v>1</v>
      </c>
      <c r="E1196" t="str">
        <f>"4574674200710358"</f>
        <v>4574674200710358</v>
      </c>
      <c r="F1196" t="str">
        <f>"830"</f>
        <v>830</v>
      </c>
      <c r="G1196">
        <v>1</v>
      </c>
      <c r="H1196">
        <v>2023</v>
      </c>
      <c r="I1196" t="s">
        <v>1311</v>
      </c>
    </row>
    <row r="1197" spans="1:9" x14ac:dyDescent="0.3">
      <c r="A1197" t="s">
        <v>10122</v>
      </c>
      <c r="B1197" t="s">
        <v>99</v>
      </c>
      <c r="C1197">
        <v>9406582649</v>
      </c>
      <c r="D1197" s="2">
        <v>1</v>
      </c>
      <c r="E1197" t="str">
        <f>"4574674200710622"</f>
        <v>4574674200710622</v>
      </c>
      <c r="F1197" t="str">
        <f>"513"</f>
        <v>513</v>
      </c>
      <c r="G1197">
        <v>1</v>
      </c>
      <c r="H1197">
        <v>2023</v>
      </c>
      <c r="I1197" t="s">
        <v>1312</v>
      </c>
    </row>
    <row r="1198" spans="1:9" x14ac:dyDescent="0.3">
      <c r="A1198" t="s">
        <v>10122</v>
      </c>
      <c r="B1198" t="s">
        <v>99</v>
      </c>
      <c r="C1198">
        <v>9406582649</v>
      </c>
      <c r="D1198" s="2">
        <v>1</v>
      </c>
      <c r="E1198" t="str">
        <f>"4574674200710382"</f>
        <v>4574674200710382</v>
      </c>
      <c r="F1198" t="str">
        <f>"847"</f>
        <v>847</v>
      </c>
      <c r="G1198">
        <v>1</v>
      </c>
      <c r="H1198">
        <v>2023</v>
      </c>
      <c r="I1198" t="s">
        <v>1313</v>
      </c>
    </row>
    <row r="1199" spans="1:9" x14ac:dyDescent="0.3">
      <c r="A1199" t="s">
        <v>10122</v>
      </c>
      <c r="B1199" t="s">
        <v>99</v>
      </c>
      <c r="C1199">
        <v>9406582649</v>
      </c>
      <c r="D1199" s="2">
        <v>1</v>
      </c>
      <c r="E1199" t="str">
        <f>"4574674200710804"</f>
        <v>4574674200710804</v>
      </c>
      <c r="F1199" t="str">
        <f>"055"</f>
        <v>055</v>
      </c>
      <c r="G1199">
        <v>1</v>
      </c>
      <c r="H1199">
        <v>2023</v>
      </c>
      <c r="I1199" t="s">
        <v>1314</v>
      </c>
    </row>
    <row r="1200" spans="1:9" x14ac:dyDescent="0.3">
      <c r="A1200" t="s">
        <v>10122</v>
      </c>
      <c r="B1200" t="s">
        <v>99</v>
      </c>
      <c r="C1200">
        <v>9406582649</v>
      </c>
      <c r="D1200" s="2">
        <v>1</v>
      </c>
      <c r="E1200" t="str">
        <f>"4574674200710846"</f>
        <v>4574674200710846</v>
      </c>
      <c r="F1200" t="str">
        <f>"721"</f>
        <v>721</v>
      </c>
      <c r="G1200">
        <v>1</v>
      </c>
      <c r="H1200">
        <v>2023</v>
      </c>
      <c r="I1200" t="s">
        <v>1315</v>
      </c>
    </row>
    <row r="1201" spans="1:9" x14ac:dyDescent="0.3">
      <c r="A1201" t="s">
        <v>10122</v>
      </c>
      <c r="B1201" t="s">
        <v>99</v>
      </c>
      <c r="C1201">
        <v>9406582649</v>
      </c>
      <c r="D1201" s="2">
        <v>1</v>
      </c>
      <c r="E1201" t="str">
        <f>"4574674200710838"</f>
        <v>4574674200710838</v>
      </c>
      <c r="F1201" t="str">
        <f>"194"</f>
        <v>194</v>
      </c>
      <c r="G1201">
        <v>1</v>
      </c>
      <c r="H1201">
        <v>2023</v>
      </c>
      <c r="I1201" t="s">
        <v>1316</v>
      </c>
    </row>
    <row r="1202" spans="1:9" x14ac:dyDescent="0.3">
      <c r="A1202" t="s">
        <v>10123</v>
      </c>
      <c r="B1202" t="s">
        <v>100</v>
      </c>
      <c r="C1202">
        <v>9406582649</v>
      </c>
      <c r="D1202" s="2">
        <v>1</v>
      </c>
      <c r="E1202" t="str">
        <f>"4574674200711026"</f>
        <v>4574674200711026</v>
      </c>
      <c r="F1202" t="str">
        <f>"734"</f>
        <v>734</v>
      </c>
      <c r="G1202">
        <v>1</v>
      </c>
      <c r="H1202">
        <v>2023</v>
      </c>
      <c r="I1202" t="s">
        <v>1317</v>
      </c>
    </row>
    <row r="1203" spans="1:9" x14ac:dyDescent="0.3">
      <c r="A1203" t="s">
        <v>10123</v>
      </c>
      <c r="B1203" t="s">
        <v>100</v>
      </c>
      <c r="C1203">
        <v>9406582649</v>
      </c>
      <c r="D1203" s="2">
        <v>1</v>
      </c>
      <c r="E1203" t="str">
        <f>"4574674200710861"</f>
        <v>4574674200710861</v>
      </c>
      <c r="F1203" t="str">
        <f>"271"</f>
        <v>271</v>
      </c>
      <c r="G1203">
        <v>1</v>
      </c>
      <c r="H1203">
        <v>2023</v>
      </c>
      <c r="I1203" t="s">
        <v>1318</v>
      </c>
    </row>
    <row r="1204" spans="1:9" x14ac:dyDescent="0.3">
      <c r="A1204" t="s">
        <v>10123</v>
      </c>
      <c r="B1204" t="s">
        <v>100</v>
      </c>
      <c r="C1204">
        <v>9406582649</v>
      </c>
      <c r="D1204" s="2">
        <v>1</v>
      </c>
      <c r="E1204" t="str">
        <f>"4574674200710879"</f>
        <v>4574674200710879</v>
      </c>
      <c r="F1204" t="str">
        <f>"325"</f>
        <v>325</v>
      </c>
      <c r="G1204">
        <v>1</v>
      </c>
      <c r="H1204">
        <v>2023</v>
      </c>
      <c r="I1204" t="s">
        <v>1319</v>
      </c>
    </row>
    <row r="1205" spans="1:9" x14ac:dyDescent="0.3">
      <c r="A1205" t="s">
        <v>10123</v>
      </c>
      <c r="B1205" t="s">
        <v>100</v>
      </c>
      <c r="C1205">
        <v>9406582649</v>
      </c>
      <c r="D1205" s="2">
        <v>1</v>
      </c>
      <c r="E1205" t="str">
        <f>"4574674200710903"</f>
        <v>4574674200710903</v>
      </c>
      <c r="F1205" t="str">
        <f>"873"</f>
        <v>873</v>
      </c>
      <c r="G1205">
        <v>1</v>
      </c>
      <c r="H1205">
        <v>2023</v>
      </c>
      <c r="I1205" t="s">
        <v>1320</v>
      </c>
    </row>
    <row r="1206" spans="1:9" x14ac:dyDescent="0.3">
      <c r="A1206" t="s">
        <v>10123</v>
      </c>
      <c r="B1206" t="s">
        <v>100</v>
      </c>
      <c r="C1206">
        <v>9406582649</v>
      </c>
      <c r="D1206" s="2">
        <v>1</v>
      </c>
      <c r="E1206" t="str">
        <f>"4574674200710929"</f>
        <v>4574674200710929</v>
      </c>
      <c r="F1206" t="str">
        <f>"776"</f>
        <v>776</v>
      </c>
      <c r="G1206">
        <v>1</v>
      </c>
      <c r="H1206">
        <v>2023</v>
      </c>
      <c r="I1206" t="s">
        <v>1321</v>
      </c>
    </row>
    <row r="1207" spans="1:9" x14ac:dyDescent="0.3">
      <c r="A1207" t="s">
        <v>10123</v>
      </c>
      <c r="B1207" t="s">
        <v>100</v>
      </c>
      <c r="C1207">
        <v>9406582649</v>
      </c>
      <c r="D1207" s="2">
        <v>1</v>
      </c>
      <c r="E1207" t="str">
        <f>"4574674200711208"</f>
        <v>4574674200711208</v>
      </c>
      <c r="F1207" t="str">
        <f>"231"</f>
        <v>231</v>
      </c>
      <c r="G1207">
        <v>1</v>
      </c>
      <c r="H1207">
        <v>2023</v>
      </c>
      <c r="I1207" t="s">
        <v>1322</v>
      </c>
    </row>
    <row r="1208" spans="1:9" x14ac:dyDescent="0.3">
      <c r="A1208" t="s">
        <v>10123</v>
      </c>
      <c r="B1208" t="s">
        <v>100</v>
      </c>
      <c r="C1208">
        <v>9406582649</v>
      </c>
      <c r="D1208" s="2">
        <v>1</v>
      </c>
      <c r="E1208" t="str">
        <f>"4574674200710952"</f>
        <v>4574674200710952</v>
      </c>
      <c r="F1208" t="str">
        <f>"780"</f>
        <v>780</v>
      </c>
      <c r="G1208">
        <v>1</v>
      </c>
      <c r="H1208">
        <v>2023</v>
      </c>
      <c r="I1208" t="s">
        <v>1323</v>
      </c>
    </row>
    <row r="1209" spans="1:9" x14ac:dyDescent="0.3">
      <c r="A1209" t="s">
        <v>10123</v>
      </c>
      <c r="B1209" t="s">
        <v>100</v>
      </c>
      <c r="C1209">
        <v>9406582649</v>
      </c>
      <c r="D1209" s="2">
        <v>1</v>
      </c>
      <c r="E1209" t="str">
        <f>"4574674200710945"</f>
        <v>4574674200710945</v>
      </c>
      <c r="F1209" t="str">
        <f>"359"</f>
        <v>359</v>
      </c>
      <c r="G1209">
        <v>1</v>
      </c>
      <c r="H1209">
        <v>2023</v>
      </c>
      <c r="I1209" t="s">
        <v>1324</v>
      </c>
    </row>
    <row r="1210" spans="1:9" x14ac:dyDescent="0.3">
      <c r="A1210" t="s">
        <v>10123</v>
      </c>
      <c r="B1210" t="s">
        <v>100</v>
      </c>
      <c r="C1210">
        <v>9406582649</v>
      </c>
      <c r="D1210" s="2">
        <v>1</v>
      </c>
      <c r="E1210" t="str">
        <f>"4574674200711414"</f>
        <v>4574674200711414</v>
      </c>
      <c r="F1210" t="str">
        <f>"852"</f>
        <v>852</v>
      </c>
      <c r="G1210">
        <v>1</v>
      </c>
      <c r="H1210">
        <v>2023</v>
      </c>
      <c r="I1210" t="s">
        <v>1325</v>
      </c>
    </row>
    <row r="1211" spans="1:9" x14ac:dyDescent="0.3">
      <c r="A1211" t="s">
        <v>10123</v>
      </c>
      <c r="B1211" t="s">
        <v>100</v>
      </c>
      <c r="C1211">
        <v>9406582649</v>
      </c>
      <c r="D1211" s="2">
        <v>1</v>
      </c>
      <c r="E1211" t="str">
        <f>"4574674200710994"</f>
        <v>4574674200710994</v>
      </c>
      <c r="F1211" t="str">
        <f>"741"</f>
        <v>741</v>
      </c>
      <c r="G1211">
        <v>1</v>
      </c>
      <c r="H1211">
        <v>2023</v>
      </c>
      <c r="I1211" t="s">
        <v>1326</v>
      </c>
    </row>
    <row r="1212" spans="1:9" x14ac:dyDescent="0.3">
      <c r="A1212" t="s">
        <v>10124</v>
      </c>
      <c r="B1212" t="s">
        <v>101</v>
      </c>
      <c r="C1212">
        <v>9406582649</v>
      </c>
      <c r="D1212" s="2">
        <v>1</v>
      </c>
      <c r="E1212" t="str">
        <f>"4574674200711406"</f>
        <v>4574674200711406</v>
      </c>
      <c r="F1212" t="str">
        <f>"680"</f>
        <v>680</v>
      </c>
      <c r="G1212">
        <v>1</v>
      </c>
      <c r="H1212">
        <v>2023</v>
      </c>
      <c r="I1212" t="s">
        <v>1327</v>
      </c>
    </row>
    <row r="1213" spans="1:9" x14ac:dyDescent="0.3">
      <c r="A1213" t="s">
        <v>10124</v>
      </c>
      <c r="B1213" t="s">
        <v>101</v>
      </c>
      <c r="C1213">
        <v>9406582649</v>
      </c>
      <c r="D1213" s="2">
        <v>1</v>
      </c>
      <c r="E1213" t="str">
        <f>"4574674200711380"</f>
        <v>4574674200711380</v>
      </c>
      <c r="F1213" t="str">
        <f>"866"</f>
        <v>866</v>
      </c>
      <c r="G1213">
        <v>1</v>
      </c>
      <c r="H1213">
        <v>2023</v>
      </c>
      <c r="I1213" t="s">
        <v>1328</v>
      </c>
    </row>
    <row r="1214" spans="1:9" x14ac:dyDescent="0.3">
      <c r="A1214" t="s">
        <v>10124</v>
      </c>
      <c r="B1214" t="s">
        <v>101</v>
      </c>
      <c r="C1214">
        <v>9406582649</v>
      </c>
      <c r="D1214" s="2">
        <v>1</v>
      </c>
      <c r="E1214" t="str">
        <f>"4574674200711455"</f>
        <v>4574674200711455</v>
      </c>
      <c r="F1214" t="str">
        <f>"951"</f>
        <v>951</v>
      </c>
      <c r="G1214">
        <v>1</v>
      </c>
      <c r="H1214">
        <v>2023</v>
      </c>
      <c r="I1214" t="s">
        <v>1329</v>
      </c>
    </row>
    <row r="1215" spans="1:9" x14ac:dyDescent="0.3">
      <c r="A1215" t="s">
        <v>10124</v>
      </c>
      <c r="B1215" t="s">
        <v>101</v>
      </c>
      <c r="C1215">
        <v>9406582649</v>
      </c>
      <c r="D1215" s="2">
        <v>1</v>
      </c>
      <c r="E1215" t="str">
        <f>"4574674200711497"</f>
        <v>4574674200711497</v>
      </c>
      <c r="F1215" t="str">
        <f>"342"</f>
        <v>342</v>
      </c>
      <c r="G1215">
        <v>1</v>
      </c>
      <c r="H1215">
        <v>2023</v>
      </c>
      <c r="I1215" t="s">
        <v>1330</v>
      </c>
    </row>
    <row r="1216" spans="1:9" x14ac:dyDescent="0.3">
      <c r="A1216" t="s">
        <v>10124</v>
      </c>
      <c r="B1216" t="s">
        <v>101</v>
      </c>
      <c r="C1216">
        <v>9406582649</v>
      </c>
      <c r="D1216" s="2">
        <v>1</v>
      </c>
      <c r="E1216" t="str">
        <f>"4574674200711463"</f>
        <v>4574674200711463</v>
      </c>
      <c r="F1216" t="str">
        <f>"604"</f>
        <v>604</v>
      </c>
      <c r="G1216">
        <v>1</v>
      </c>
      <c r="H1216">
        <v>2023</v>
      </c>
      <c r="I1216" t="s">
        <v>1331</v>
      </c>
    </row>
    <row r="1217" spans="1:9" x14ac:dyDescent="0.3">
      <c r="A1217" t="s">
        <v>10124</v>
      </c>
      <c r="B1217" t="s">
        <v>101</v>
      </c>
      <c r="C1217">
        <v>9406582649</v>
      </c>
      <c r="D1217" s="2">
        <v>1</v>
      </c>
      <c r="E1217" t="str">
        <f>"4574674200711471"</f>
        <v>4574674200711471</v>
      </c>
      <c r="F1217" t="str">
        <f>"168"</f>
        <v>168</v>
      </c>
      <c r="G1217">
        <v>1</v>
      </c>
      <c r="H1217">
        <v>2023</v>
      </c>
      <c r="I1217" t="s">
        <v>1332</v>
      </c>
    </row>
    <row r="1218" spans="1:9" x14ac:dyDescent="0.3">
      <c r="A1218" t="s">
        <v>10124</v>
      </c>
      <c r="B1218" t="s">
        <v>101</v>
      </c>
      <c r="C1218">
        <v>9406582649</v>
      </c>
      <c r="D1218" s="2">
        <v>1</v>
      </c>
      <c r="E1218" t="str">
        <f>"4574674200711778"</f>
        <v>4574674200711778</v>
      </c>
      <c r="F1218" t="str">
        <f>"746"</f>
        <v>746</v>
      </c>
      <c r="G1218">
        <v>1</v>
      </c>
      <c r="H1218">
        <v>2023</v>
      </c>
      <c r="I1218" t="s">
        <v>1333</v>
      </c>
    </row>
    <row r="1219" spans="1:9" x14ac:dyDescent="0.3">
      <c r="A1219" t="s">
        <v>10124</v>
      </c>
      <c r="B1219" t="s">
        <v>101</v>
      </c>
      <c r="C1219">
        <v>9406582649</v>
      </c>
      <c r="D1219" s="2">
        <v>1</v>
      </c>
      <c r="E1219" t="str">
        <f>"4574674200711539"</f>
        <v>4574674200711539</v>
      </c>
      <c r="F1219" t="str">
        <f>"175"</f>
        <v>175</v>
      </c>
      <c r="G1219">
        <v>1</v>
      </c>
      <c r="H1219">
        <v>2023</v>
      </c>
      <c r="I1219" t="s">
        <v>1334</v>
      </c>
    </row>
    <row r="1220" spans="1:9" x14ac:dyDescent="0.3">
      <c r="A1220" t="s">
        <v>10124</v>
      </c>
      <c r="B1220" t="s">
        <v>101</v>
      </c>
      <c r="C1220">
        <v>9406582649</v>
      </c>
      <c r="D1220" s="2">
        <v>1</v>
      </c>
      <c r="E1220" t="str">
        <f>"4574674200711521"</f>
        <v>4574674200711521</v>
      </c>
      <c r="F1220" t="str">
        <f>"302"</f>
        <v>302</v>
      </c>
      <c r="G1220">
        <v>1</v>
      </c>
      <c r="H1220">
        <v>2023</v>
      </c>
      <c r="I1220" t="s">
        <v>1335</v>
      </c>
    </row>
    <row r="1221" spans="1:9" x14ac:dyDescent="0.3">
      <c r="A1221" t="s">
        <v>10124</v>
      </c>
      <c r="B1221" t="s">
        <v>101</v>
      </c>
      <c r="C1221">
        <v>9406582649</v>
      </c>
      <c r="D1221" s="2">
        <v>1</v>
      </c>
      <c r="E1221" t="str">
        <f>"4574674200711570"</f>
        <v>4574674200711570</v>
      </c>
      <c r="F1221" t="str">
        <f>"521"</f>
        <v>521</v>
      </c>
      <c r="G1221">
        <v>1</v>
      </c>
      <c r="H1221">
        <v>2023</v>
      </c>
      <c r="I1221" t="s">
        <v>1336</v>
      </c>
    </row>
    <row r="1222" spans="1:9" x14ac:dyDescent="0.3">
      <c r="A1222" t="s">
        <v>10125</v>
      </c>
      <c r="B1222" t="s">
        <v>102</v>
      </c>
      <c r="C1222">
        <v>9406582649</v>
      </c>
      <c r="D1222" s="2">
        <v>1</v>
      </c>
      <c r="E1222" t="str">
        <f>"4574674200711588"</f>
        <v>4574674200711588</v>
      </c>
      <c r="F1222" t="str">
        <f>"097"</f>
        <v>097</v>
      </c>
      <c r="G1222">
        <v>1</v>
      </c>
      <c r="H1222">
        <v>2023</v>
      </c>
      <c r="I1222" t="s">
        <v>1337</v>
      </c>
    </row>
    <row r="1223" spans="1:9" x14ac:dyDescent="0.3">
      <c r="A1223" t="s">
        <v>10125</v>
      </c>
      <c r="B1223" t="s">
        <v>102</v>
      </c>
      <c r="C1223">
        <v>9406582649</v>
      </c>
      <c r="D1223" s="2">
        <v>1</v>
      </c>
      <c r="E1223" t="str">
        <f>"4574674200712008"</f>
        <v>4574674200712008</v>
      </c>
      <c r="F1223" t="str">
        <f>"704"</f>
        <v>704</v>
      </c>
      <c r="G1223">
        <v>1</v>
      </c>
      <c r="H1223">
        <v>2023</v>
      </c>
      <c r="I1223" t="s">
        <v>1338</v>
      </c>
    </row>
    <row r="1224" spans="1:9" x14ac:dyDescent="0.3">
      <c r="A1224" t="s">
        <v>10125</v>
      </c>
      <c r="B1224" t="s">
        <v>102</v>
      </c>
      <c r="C1224">
        <v>9406582649</v>
      </c>
      <c r="D1224" s="2">
        <v>1</v>
      </c>
      <c r="E1224" t="str">
        <f>"4574674200712016"</f>
        <v>4574674200712016</v>
      </c>
      <c r="F1224" t="str">
        <f>"012"</f>
        <v>012</v>
      </c>
      <c r="G1224">
        <v>1</v>
      </c>
      <c r="H1224">
        <v>2023</v>
      </c>
      <c r="I1224" t="s">
        <v>1339</v>
      </c>
    </row>
    <row r="1225" spans="1:9" x14ac:dyDescent="0.3">
      <c r="A1225" t="s">
        <v>10125</v>
      </c>
      <c r="B1225" t="s">
        <v>102</v>
      </c>
      <c r="C1225">
        <v>9406582649</v>
      </c>
      <c r="D1225" s="2">
        <v>1</v>
      </c>
      <c r="E1225" t="str">
        <f>"4574674200711919"</f>
        <v>4574674200711919</v>
      </c>
      <c r="F1225" t="str">
        <f>"532"</f>
        <v>532</v>
      </c>
      <c r="G1225">
        <v>1</v>
      </c>
      <c r="H1225">
        <v>2023</v>
      </c>
      <c r="I1225" t="s">
        <v>1340</v>
      </c>
    </row>
    <row r="1226" spans="1:9" x14ac:dyDescent="0.3">
      <c r="A1226" t="s">
        <v>10125</v>
      </c>
      <c r="B1226" t="s">
        <v>102</v>
      </c>
      <c r="C1226">
        <v>9406582649</v>
      </c>
      <c r="D1226" s="2">
        <v>1</v>
      </c>
      <c r="E1226" t="str">
        <f>"4574674200712057"</f>
        <v>4574674200712057</v>
      </c>
      <c r="F1226" t="str">
        <f>"273"</f>
        <v>273</v>
      </c>
      <c r="G1226">
        <v>1</v>
      </c>
      <c r="H1226">
        <v>2023</v>
      </c>
      <c r="I1226" t="s">
        <v>1341</v>
      </c>
    </row>
    <row r="1227" spans="1:9" x14ac:dyDescent="0.3">
      <c r="A1227" t="s">
        <v>10125</v>
      </c>
      <c r="B1227" t="s">
        <v>102</v>
      </c>
      <c r="C1227">
        <v>9406582649</v>
      </c>
      <c r="D1227" s="2">
        <v>1</v>
      </c>
      <c r="E1227" t="str">
        <f>"4574674200712073"</f>
        <v>4574674200712073</v>
      </c>
      <c r="F1227" t="str">
        <f>"122"</f>
        <v>122</v>
      </c>
      <c r="G1227">
        <v>1</v>
      </c>
      <c r="H1227">
        <v>2023</v>
      </c>
      <c r="I1227" t="s">
        <v>1342</v>
      </c>
    </row>
    <row r="1228" spans="1:9" x14ac:dyDescent="0.3">
      <c r="A1228" t="s">
        <v>10125</v>
      </c>
      <c r="B1228" t="s">
        <v>102</v>
      </c>
      <c r="C1228">
        <v>9406582649</v>
      </c>
      <c r="D1228" s="2">
        <v>1</v>
      </c>
      <c r="E1228" t="str">
        <f>"4574674200712271"</f>
        <v>4574674200712271</v>
      </c>
      <c r="F1228" t="str">
        <f>"801"</f>
        <v>801</v>
      </c>
      <c r="G1228">
        <v>1</v>
      </c>
      <c r="H1228">
        <v>2023</v>
      </c>
      <c r="I1228" t="s">
        <v>1343</v>
      </c>
    </row>
    <row r="1229" spans="1:9" x14ac:dyDescent="0.3">
      <c r="A1229" t="s">
        <v>10125</v>
      </c>
      <c r="B1229" t="s">
        <v>102</v>
      </c>
      <c r="C1229">
        <v>9406582649</v>
      </c>
      <c r="D1229" s="2">
        <v>1</v>
      </c>
      <c r="E1229" t="str">
        <f>"4574674200712099"</f>
        <v>4574674200712099</v>
      </c>
      <c r="F1229" t="str">
        <f>"526"</f>
        <v>526</v>
      </c>
      <c r="G1229">
        <v>1</v>
      </c>
      <c r="H1229">
        <v>2023</v>
      </c>
      <c r="I1229" t="s">
        <v>1344</v>
      </c>
    </row>
    <row r="1230" spans="1:9" x14ac:dyDescent="0.3">
      <c r="A1230" t="s">
        <v>10125</v>
      </c>
      <c r="B1230" t="s">
        <v>102</v>
      </c>
      <c r="C1230">
        <v>9406582649</v>
      </c>
      <c r="D1230" s="2">
        <v>1</v>
      </c>
      <c r="E1230" t="str">
        <f>"4574674200712081"</f>
        <v>4574674200712081</v>
      </c>
      <c r="F1230" t="str">
        <f>"527"</f>
        <v>527</v>
      </c>
      <c r="G1230">
        <v>1</v>
      </c>
      <c r="H1230">
        <v>2023</v>
      </c>
      <c r="I1230" t="s">
        <v>1345</v>
      </c>
    </row>
    <row r="1231" spans="1:9" x14ac:dyDescent="0.3">
      <c r="A1231" t="s">
        <v>10125</v>
      </c>
      <c r="B1231" t="s">
        <v>102</v>
      </c>
      <c r="C1231">
        <v>9406582649</v>
      </c>
      <c r="D1231" s="2">
        <v>1</v>
      </c>
      <c r="E1231" t="str">
        <f>"4574674200712123"</f>
        <v>4574674200712123</v>
      </c>
      <c r="F1231" t="str">
        <f>"360"</f>
        <v>360</v>
      </c>
      <c r="G1231">
        <v>1</v>
      </c>
      <c r="H1231">
        <v>2023</v>
      </c>
      <c r="I1231" t="s">
        <v>1346</v>
      </c>
    </row>
    <row r="1232" spans="1:9" x14ac:dyDescent="0.3">
      <c r="A1232" t="s">
        <v>10126</v>
      </c>
      <c r="B1232" t="s">
        <v>103</v>
      </c>
      <c r="C1232">
        <v>9406582649</v>
      </c>
      <c r="D1232" s="2">
        <v>1</v>
      </c>
      <c r="E1232" t="str">
        <f>"4574674200712131"</f>
        <v>4574674200712131</v>
      </c>
      <c r="F1232" t="str">
        <f>"459"</f>
        <v>459</v>
      </c>
      <c r="G1232">
        <v>1</v>
      </c>
      <c r="H1232">
        <v>2023</v>
      </c>
      <c r="I1232" t="s">
        <v>1347</v>
      </c>
    </row>
    <row r="1233" spans="1:9" x14ac:dyDescent="0.3">
      <c r="A1233" t="s">
        <v>10126</v>
      </c>
      <c r="B1233" t="s">
        <v>103</v>
      </c>
      <c r="C1233">
        <v>9406582649</v>
      </c>
      <c r="D1233" s="2">
        <v>1</v>
      </c>
      <c r="E1233" t="str">
        <f>"4574674200712453"</f>
        <v>4574674200712453</v>
      </c>
      <c r="F1233" t="str">
        <f>"134"</f>
        <v>134</v>
      </c>
      <c r="G1233">
        <v>1</v>
      </c>
      <c r="H1233">
        <v>2023</v>
      </c>
      <c r="I1233" t="s">
        <v>1348</v>
      </c>
    </row>
    <row r="1234" spans="1:9" x14ac:dyDescent="0.3">
      <c r="A1234" t="s">
        <v>10126</v>
      </c>
      <c r="B1234" t="s">
        <v>103</v>
      </c>
      <c r="C1234">
        <v>9406582649</v>
      </c>
      <c r="D1234" s="2">
        <v>1</v>
      </c>
      <c r="E1234" t="str">
        <f>"4574674200712164"</f>
        <v>4574674200712164</v>
      </c>
      <c r="F1234" t="str">
        <f>"891"</f>
        <v>891</v>
      </c>
      <c r="G1234">
        <v>1</v>
      </c>
      <c r="H1234">
        <v>2023</v>
      </c>
      <c r="I1234" t="s">
        <v>1349</v>
      </c>
    </row>
    <row r="1235" spans="1:9" x14ac:dyDescent="0.3">
      <c r="A1235" t="s">
        <v>10126</v>
      </c>
      <c r="B1235" t="s">
        <v>103</v>
      </c>
      <c r="C1235">
        <v>9406582649</v>
      </c>
      <c r="D1235" s="2">
        <v>1</v>
      </c>
      <c r="E1235" t="str">
        <f>"4574674200712198"</f>
        <v>4574674200712198</v>
      </c>
      <c r="F1235" t="str">
        <f>"223"</f>
        <v>223</v>
      </c>
      <c r="G1235">
        <v>1</v>
      </c>
      <c r="H1235">
        <v>2023</v>
      </c>
      <c r="I1235" t="s">
        <v>1350</v>
      </c>
    </row>
    <row r="1236" spans="1:9" x14ac:dyDescent="0.3">
      <c r="A1236" t="s">
        <v>10126</v>
      </c>
      <c r="B1236" t="s">
        <v>103</v>
      </c>
      <c r="C1236">
        <v>9406582649</v>
      </c>
      <c r="D1236" s="2">
        <v>1</v>
      </c>
      <c r="E1236" t="str">
        <f>"4574674200712602"</f>
        <v>4574674200712602</v>
      </c>
      <c r="F1236" t="str">
        <f>"257"</f>
        <v>257</v>
      </c>
      <c r="G1236">
        <v>1</v>
      </c>
      <c r="H1236">
        <v>2023</v>
      </c>
      <c r="I1236" t="s">
        <v>1351</v>
      </c>
    </row>
    <row r="1237" spans="1:9" x14ac:dyDescent="0.3">
      <c r="A1237" t="s">
        <v>10126</v>
      </c>
      <c r="B1237" t="s">
        <v>103</v>
      </c>
      <c r="C1237">
        <v>9406582649</v>
      </c>
      <c r="D1237" s="2">
        <v>1</v>
      </c>
      <c r="E1237" t="str">
        <f>"4574674200712636"</f>
        <v>4574674200712636</v>
      </c>
      <c r="F1237" t="str">
        <f>"669"</f>
        <v>669</v>
      </c>
      <c r="G1237">
        <v>1</v>
      </c>
      <c r="H1237">
        <v>2023</v>
      </c>
      <c r="I1237" t="s">
        <v>1352</v>
      </c>
    </row>
    <row r="1238" spans="1:9" x14ac:dyDescent="0.3">
      <c r="A1238" t="s">
        <v>10126</v>
      </c>
      <c r="B1238" t="s">
        <v>103</v>
      </c>
      <c r="C1238">
        <v>9406582649</v>
      </c>
      <c r="D1238" s="2">
        <v>1</v>
      </c>
      <c r="E1238" t="str">
        <f>"4574674200712628"</f>
        <v>4574674200712628</v>
      </c>
      <c r="F1238" t="str">
        <f>"781"</f>
        <v>781</v>
      </c>
      <c r="G1238">
        <v>1</v>
      </c>
      <c r="H1238">
        <v>2023</v>
      </c>
      <c r="I1238" t="s">
        <v>1353</v>
      </c>
    </row>
    <row r="1239" spans="1:9" x14ac:dyDescent="0.3">
      <c r="A1239" t="s">
        <v>10126</v>
      </c>
      <c r="B1239" t="s">
        <v>103</v>
      </c>
      <c r="C1239">
        <v>9406582649</v>
      </c>
      <c r="D1239" s="2">
        <v>1</v>
      </c>
      <c r="E1239" t="str">
        <f>"4574674200712644"</f>
        <v>4574674200712644</v>
      </c>
      <c r="F1239" t="str">
        <f>"279"</f>
        <v>279</v>
      </c>
      <c r="G1239">
        <v>1</v>
      </c>
      <c r="H1239">
        <v>2023</v>
      </c>
      <c r="I1239" t="s">
        <v>1354</v>
      </c>
    </row>
    <row r="1240" spans="1:9" x14ac:dyDescent="0.3">
      <c r="A1240" t="s">
        <v>10126</v>
      </c>
      <c r="B1240" t="s">
        <v>103</v>
      </c>
      <c r="C1240">
        <v>9406582649</v>
      </c>
      <c r="D1240" s="2">
        <v>1</v>
      </c>
      <c r="E1240" t="str">
        <f>"4574674200712677"</f>
        <v>4574674200712677</v>
      </c>
      <c r="F1240" t="str">
        <f>"435"</f>
        <v>435</v>
      </c>
      <c r="G1240">
        <v>1</v>
      </c>
      <c r="H1240">
        <v>2023</v>
      </c>
      <c r="I1240" t="s">
        <v>1355</v>
      </c>
    </row>
    <row r="1241" spans="1:9" x14ac:dyDescent="0.3">
      <c r="A1241" t="s">
        <v>10126</v>
      </c>
      <c r="B1241" t="s">
        <v>103</v>
      </c>
      <c r="C1241">
        <v>9406582649</v>
      </c>
      <c r="D1241" s="2">
        <v>1</v>
      </c>
      <c r="E1241" t="str">
        <f>"4574674200712685"</f>
        <v>4574674200712685</v>
      </c>
      <c r="F1241" t="str">
        <f>"042"</f>
        <v>042</v>
      </c>
      <c r="G1241">
        <v>1</v>
      </c>
      <c r="H1241">
        <v>2023</v>
      </c>
      <c r="I1241" t="s">
        <v>1356</v>
      </c>
    </row>
    <row r="1242" spans="1:9" x14ac:dyDescent="0.3">
      <c r="A1242" t="s">
        <v>10127</v>
      </c>
      <c r="B1242" t="s">
        <v>104</v>
      </c>
      <c r="C1242">
        <v>9406582649</v>
      </c>
      <c r="D1242" s="2">
        <v>1</v>
      </c>
      <c r="E1242" t="str">
        <f>"4574674200712867"</f>
        <v>4574674200712867</v>
      </c>
      <c r="F1242" t="str">
        <f>"402"</f>
        <v>402</v>
      </c>
      <c r="G1242">
        <v>1</v>
      </c>
      <c r="H1242">
        <v>2023</v>
      </c>
      <c r="I1242" t="s">
        <v>1357</v>
      </c>
    </row>
    <row r="1243" spans="1:9" x14ac:dyDescent="0.3">
      <c r="A1243" t="s">
        <v>10127</v>
      </c>
      <c r="B1243" t="s">
        <v>104</v>
      </c>
      <c r="C1243">
        <v>9406582649</v>
      </c>
      <c r="D1243" s="2">
        <v>1</v>
      </c>
      <c r="E1243" t="str">
        <f>"4574674200712701"</f>
        <v>4574674200712701</v>
      </c>
      <c r="F1243" t="str">
        <f>"437"</f>
        <v>437</v>
      </c>
      <c r="G1243">
        <v>1</v>
      </c>
      <c r="H1243">
        <v>2023</v>
      </c>
      <c r="I1243" t="s">
        <v>1358</v>
      </c>
    </row>
    <row r="1244" spans="1:9" x14ac:dyDescent="0.3">
      <c r="A1244" t="s">
        <v>10127</v>
      </c>
      <c r="B1244" t="s">
        <v>104</v>
      </c>
      <c r="C1244">
        <v>9406582649</v>
      </c>
      <c r="D1244" s="2">
        <v>1</v>
      </c>
      <c r="E1244" t="str">
        <f>"4574674200712727"</f>
        <v>4574674200712727</v>
      </c>
      <c r="F1244" t="str">
        <f>"811"</f>
        <v>811</v>
      </c>
      <c r="G1244">
        <v>1</v>
      </c>
      <c r="H1244">
        <v>2023</v>
      </c>
      <c r="I1244" t="s">
        <v>1359</v>
      </c>
    </row>
    <row r="1245" spans="1:9" x14ac:dyDescent="0.3">
      <c r="A1245" t="s">
        <v>10127</v>
      </c>
      <c r="B1245" t="s">
        <v>104</v>
      </c>
      <c r="C1245">
        <v>9406582649</v>
      </c>
      <c r="D1245" s="2">
        <v>1</v>
      </c>
      <c r="E1245" t="str">
        <f>"4574674200712735"</f>
        <v>4574674200712735</v>
      </c>
      <c r="F1245" t="str">
        <f>"218"</f>
        <v>218</v>
      </c>
      <c r="G1245">
        <v>1</v>
      </c>
      <c r="H1245">
        <v>2023</v>
      </c>
      <c r="I1245" t="s">
        <v>1360</v>
      </c>
    </row>
    <row r="1246" spans="1:9" x14ac:dyDescent="0.3">
      <c r="A1246" t="s">
        <v>10127</v>
      </c>
      <c r="B1246" t="s">
        <v>104</v>
      </c>
      <c r="C1246">
        <v>9406582649</v>
      </c>
      <c r="D1246" s="2">
        <v>1</v>
      </c>
      <c r="E1246" t="str">
        <f>"4574674200712750"</f>
        <v>4574674200712750</v>
      </c>
      <c r="F1246" t="str">
        <f>"933"</f>
        <v>933</v>
      </c>
      <c r="G1246">
        <v>1</v>
      </c>
      <c r="H1246">
        <v>2023</v>
      </c>
      <c r="I1246" t="s">
        <v>1361</v>
      </c>
    </row>
    <row r="1247" spans="1:9" x14ac:dyDescent="0.3">
      <c r="A1247" t="s">
        <v>10127</v>
      </c>
      <c r="B1247" t="s">
        <v>104</v>
      </c>
      <c r="C1247">
        <v>9406582649</v>
      </c>
      <c r="D1247" s="2">
        <v>1</v>
      </c>
      <c r="E1247" t="str">
        <f>"4574674200713055"</f>
        <v>4574674200713055</v>
      </c>
      <c r="F1247" t="str">
        <f>"487"</f>
        <v>487</v>
      </c>
      <c r="G1247">
        <v>1</v>
      </c>
      <c r="H1247">
        <v>2023</v>
      </c>
      <c r="I1247" t="s">
        <v>1362</v>
      </c>
    </row>
    <row r="1248" spans="1:9" x14ac:dyDescent="0.3">
      <c r="A1248" t="s">
        <v>10127</v>
      </c>
      <c r="B1248" t="s">
        <v>104</v>
      </c>
      <c r="C1248">
        <v>9406582649</v>
      </c>
      <c r="D1248" s="2">
        <v>1</v>
      </c>
      <c r="E1248" t="str">
        <f>"4574674200712792"</f>
        <v>4574674200712792</v>
      </c>
      <c r="F1248" t="str">
        <f>"735"</f>
        <v>735</v>
      </c>
      <c r="G1248">
        <v>1</v>
      </c>
      <c r="H1248">
        <v>2023</v>
      </c>
      <c r="I1248" t="s">
        <v>1363</v>
      </c>
    </row>
    <row r="1249" spans="1:9" x14ac:dyDescent="0.3">
      <c r="A1249" t="s">
        <v>10127</v>
      </c>
      <c r="B1249" t="s">
        <v>104</v>
      </c>
      <c r="C1249">
        <v>9406582649</v>
      </c>
      <c r="D1249" s="2">
        <v>1</v>
      </c>
      <c r="E1249" t="str">
        <f>"4574674200713204"</f>
        <v>4574674200713204</v>
      </c>
      <c r="F1249" t="str">
        <f>"096"</f>
        <v>096</v>
      </c>
      <c r="G1249">
        <v>1</v>
      </c>
      <c r="H1249">
        <v>2023</v>
      </c>
      <c r="I1249" t="s">
        <v>1364</v>
      </c>
    </row>
    <row r="1250" spans="1:9" x14ac:dyDescent="0.3">
      <c r="A1250" t="s">
        <v>10127</v>
      </c>
      <c r="B1250" t="s">
        <v>104</v>
      </c>
      <c r="C1250">
        <v>9406582649</v>
      </c>
      <c r="D1250" s="2">
        <v>1</v>
      </c>
      <c r="E1250" t="str">
        <f>"4574674200713220"</f>
        <v>4574674200713220</v>
      </c>
      <c r="F1250" t="str">
        <f>"084"</f>
        <v>084</v>
      </c>
      <c r="G1250">
        <v>1</v>
      </c>
      <c r="H1250">
        <v>2023</v>
      </c>
      <c r="I1250" t="s">
        <v>1365</v>
      </c>
    </row>
    <row r="1251" spans="1:9" x14ac:dyDescent="0.3">
      <c r="A1251" t="s">
        <v>10127</v>
      </c>
      <c r="B1251" t="s">
        <v>104</v>
      </c>
      <c r="C1251">
        <v>9406582649</v>
      </c>
      <c r="D1251" s="2">
        <v>1</v>
      </c>
      <c r="E1251" t="str">
        <f>"4574674200713261"</f>
        <v>4574674200713261</v>
      </c>
      <c r="F1251" t="str">
        <f>"272"</f>
        <v>272</v>
      </c>
      <c r="G1251">
        <v>1</v>
      </c>
      <c r="H1251">
        <v>2023</v>
      </c>
      <c r="I1251" t="s">
        <v>1366</v>
      </c>
    </row>
    <row r="1252" spans="1:9" x14ac:dyDescent="0.3">
      <c r="A1252" t="s">
        <v>10128</v>
      </c>
      <c r="B1252" t="s">
        <v>105</v>
      </c>
      <c r="C1252">
        <v>9406582649</v>
      </c>
      <c r="D1252" s="2">
        <v>1</v>
      </c>
      <c r="E1252" t="str">
        <f>"4574674200713279"</f>
        <v>4574674200713279</v>
      </c>
      <c r="F1252" t="str">
        <f>"008"</f>
        <v>008</v>
      </c>
      <c r="G1252">
        <v>1</v>
      </c>
      <c r="H1252">
        <v>2023</v>
      </c>
      <c r="I1252" t="s">
        <v>1367</v>
      </c>
    </row>
    <row r="1253" spans="1:9" x14ac:dyDescent="0.3">
      <c r="A1253" t="s">
        <v>10128</v>
      </c>
      <c r="B1253" t="s">
        <v>105</v>
      </c>
      <c r="C1253">
        <v>9406582649</v>
      </c>
      <c r="D1253" s="2">
        <v>1</v>
      </c>
      <c r="E1253" t="str">
        <f>"4574674200713402"</f>
        <v>4574674200713402</v>
      </c>
      <c r="F1253" t="str">
        <f>"274"</f>
        <v>274</v>
      </c>
      <c r="G1253">
        <v>1</v>
      </c>
      <c r="H1253">
        <v>2023</v>
      </c>
      <c r="I1253" t="s">
        <v>1368</v>
      </c>
    </row>
    <row r="1254" spans="1:9" x14ac:dyDescent="0.3">
      <c r="A1254" t="s">
        <v>10128</v>
      </c>
      <c r="B1254" t="s">
        <v>105</v>
      </c>
      <c r="C1254">
        <v>9406582649</v>
      </c>
      <c r="D1254" s="2">
        <v>1</v>
      </c>
      <c r="E1254" t="str">
        <f>"4574674200713386"</f>
        <v>4574674200713386</v>
      </c>
      <c r="F1254" t="str">
        <f>"650"</f>
        <v>650</v>
      </c>
      <c r="G1254">
        <v>1</v>
      </c>
      <c r="H1254">
        <v>2023</v>
      </c>
      <c r="I1254" t="s">
        <v>1369</v>
      </c>
    </row>
    <row r="1255" spans="1:9" x14ac:dyDescent="0.3">
      <c r="A1255" t="s">
        <v>10128</v>
      </c>
      <c r="B1255" t="s">
        <v>105</v>
      </c>
      <c r="C1255">
        <v>9406582649</v>
      </c>
      <c r="D1255" s="2">
        <v>1</v>
      </c>
      <c r="E1255" t="str">
        <f>"4574674200713360"</f>
        <v>4574674200713360</v>
      </c>
      <c r="F1255" t="str">
        <f>"696"</f>
        <v>696</v>
      </c>
      <c r="G1255">
        <v>1</v>
      </c>
      <c r="H1255">
        <v>2023</v>
      </c>
      <c r="I1255" t="s">
        <v>1370</v>
      </c>
    </row>
    <row r="1256" spans="1:9" x14ac:dyDescent="0.3">
      <c r="A1256" t="s">
        <v>10128</v>
      </c>
      <c r="B1256" t="s">
        <v>105</v>
      </c>
      <c r="C1256">
        <v>9406582649</v>
      </c>
      <c r="D1256" s="2">
        <v>1</v>
      </c>
      <c r="E1256" t="str">
        <f>"4574674200713329"</f>
        <v>4574674200713329</v>
      </c>
      <c r="F1256" t="str">
        <f>"982"</f>
        <v>982</v>
      </c>
      <c r="G1256">
        <v>1</v>
      </c>
      <c r="H1256">
        <v>2023</v>
      </c>
      <c r="I1256" t="s">
        <v>1371</v>
      </c>
    </row>
    <row r="1257" spans="1:9" x14ac:dyDescent="0.3">
      <c r="A1257" t="s">
        <v>10128</v>
      </c>
      <c r="B1257" t="s">
        <v>105</v>
      </c>
      <c r="C1257">
        <v>9406582649</v>
      </c>
      <c r="D1257" s="2">
        <v>1</v>
      </c>
      <c r="E1257" t="str">
        <f>"4574674200713881"</f>
        <v>4574674200713881</v>
      </c>
      <c r="F1257" t="str">
        <f>"772"</f>
        <v>772</v>
      </c>
      <c r="G1257">
        <v>1</v>
      </c>
      <c r="H1257">
        <v>2023</v>
      </c>
      <c r="I1257" t="s">
        <v>1372</v>
      </c>
    </row>
    <row r="1258" spans="1:9" x14ac:dyDescent="0.3">
      <c r="A1258" t="s">
        <v>10128</v>
      </c>
      <c r="B1258" t="s">
        <v>105</v>
      </c>
      <c r="C1258">
        <v>9406582649</v>
      </c>
      <c r="D1258" s="2">
        <v>1</v>
      </c>
      <c r="E1258" t="str">
        <f>"4574674200713626"</f>
        <v>4574674200713626</v>
      </c>
      <c r="F1258" t="str">
        <f>"982"</f>
        <v>982</v>
      </c>
      <c r="G1258">
        <v>1</v>
      </c>
      <c r="H1258">
        <v>2023</v>
      </c>
      <c r="I1258" t="s">
        <v>1373</v>
      </c>
    </row>
    <row r="1259" spans="1:9" x14ac:dyDescent="0.3">
      <c r="A1259" t="s">
        <v>10128</v>
      </c>
      <c r="B1259" t="s">
        <v>105</v>
      </c>
      <c r="C1259">
        <v>9406582649</v>
      </c>
      <c r="D1259" s="2">
        <v>1</v>
      </c>
      <c r="E1259" t="str">
        <f>"4574674200713659"</f>
        <v>4574674200713659</v>
      </c>
      <c r="F1259" t="str">
        <f>"276"</f>
        <v>276</v>
      </c>
      <c r="G1259">
        <v>1</v>
      </c>
      <c r="H1259">
        <v>2023</v>
      </c>
      <c r="I1259" t="s">
        <v>1374</v>
      </c>
    </row>
    <row r="1260" spans="1:9" x14ac:dyDescent="0.3">
      <c r="A1260" t="s">
        <v>10128</v>
      </c>
      <c r="B1260" t="s">
        <v>105</v>
      </c>
      <c r="C1260">
        <v>9406582649</v>
      </c>
      <c r="D1260" s="2">
        <v>1</v>
      </c>
      <c r="E1260" t="str">
        <f>"4574674200713667"</f>
        <v>4574674200713667</v>
      </c>
      <c r="F1260" t="str">
        <f>"369"</f>
        <v>369</v>
      </c>
      <c r="G1260">
        <v>1</v>
      </c>
      <c r="H1260">
        <v>2023</v>
      </c>
      <c r="I1260" t="s">
        <v>1375</v>
      </c>
    </row>
    <row r="1261" spans="1:9" x14ac:dyDescent="0.3">
      <c r="A1261" t="s">
        <v>10128</v>
      </c>
      <c r="B1261" t="s">
        <v>105</v>
      </c>
      <c r="C1261">
        <v>9406582649</v>
      </c>
      <c r="D1261" s="2">
        <v>1</v>
      </c>
      <c r="E1261" t="str">
        <f>"4574674200713725"</f>
        <v>4574674200713725</v>
      </c>
      <c r="F1261" t="str">
        <f>"987"</f>
        <v>987</v>
      </c>
      <c r="G1261">
        <v>1</v>
      </c>
      <c r="H1261">
        <v>2023</v>
      </c>
      <c r="I1261" t="s">
        <v>1376</v>
      </c>
    </row>
    <row r="1262" spans="1:9" x14ac:dyDescent="0.3">
      <c r="A1262" t="s">
        <v>10129</v>
      </c>
      <c r="B1262" t="s">
        <v>106</v>
      </c>
      <c r="C1262">
        <v>9406582649</v>
      </c>
      <c r="D1262" s="2">
        <v>1</v>
      </c>
      <c r="E1262" t="str">
        <f>"4574674200714020"</f>
        <v>4574674200714020</v>
      </c>
      <c r="F1262" t="str">
        <f>"627"</f>
        <v>627</v>
      </c>
      <c r="G1262">
        <v>1</v>
      </c>
      <c r="H1262">
        <v>2023</v>
      </c>
      <c r="I1262" t="s">
        <v>1377</v>
      </c>
    </row>
    <row r="1263" spans="1:9" x14ac:dyDescent="0.3">
      <c r="A1263" t="s">
        <v>10129</v>
      </c>
      <c r="B1263" t="s">
        <v>106</v>
      </c>
      <c r="C1263">
        <v>9406582649</v>
      </c>
      <c r="D1263" s="2">
        <v>1</v>
      </c>
      <c r="E1263" t="str">
        <f>"4574674200713733"</f>
        <v>4574674200713733</v>
      </c>
      <c r="F1263" t="str">
        <f>"368"</f>
        <v>368</v>
      </c>
      <c r="G1263">
        <v>1</v>
      </c>
      <c r="H1263">
        <v>2023</v>
      </c>
      <c r="I1263" t="s">
        <v>1378</v>
      </c>
    </row>
    <row r="1264" spans="1:9" x14ac:dyDescent="0.3">
      <c r="A1264" t="s">
        <v>10129</v>
      </c>
      <c r="B1264" t="s">
        <v>106</v>
      </c>
      <c r="C1264">
        <v>9406582649</v>
      </c>
      <c r="D1264" s="2">
        <v>1</v>
      </c>
      <c r="E1264" t="str">
        <f>"4574674200713758"</f>
        <v>4574674200713758</v>
      </c>
      <c r="F1264" t="str">
        <f>"252"</f>
        <v>252</v>
      </c>
      <c r="G1264">
        <v>1</v>
      </c>
      <c r="H1264">
        <v>2023</v>
      </c>
      <c r="I1264" t="s">
        <v>1379</v>
      </c>
    </row>
    <row r="1265" spans="1:9" x14ac:dyDescent="0.3">
      <c r="A1265" t="s">
        <v>10129</v>
      </c>
      <c r="B1265" t="s">
        <v>106</v>
      </c>
      <c r="C1265">
        <v>9406582649</v>
      </c>
      <c r="D1265" s="2">
        <v>1</v>
      </c>
      <c r="E1265" t="str">
        <f>"4574674200713766"</f>
        <v>4574674200713766</v>
      </c>
      <c r="F1265" t="str">
        <f>"431"</f>
        <v>431</v>
      </c>
      <c r="G1265">
        <v>1</v>
      </c>
      <c r="H1265">
        <v>2023</v>
      </c>
      <c r="I1265" t="s">
        <v>1380</v>
      </c>
    </row>
    <row r="1266" spans="1:9" x14ac:dyDescent="0.3">
      <c r="A1266" t="s">
        <v>10129</v>
      </c>
      <c r="B1266" t="s">
        <v>106</v>
      </c>
      <c r="C1266">
        <v>9406582649</v>
      </c>
      <c r="D1266" s="2">
        <v>1</v>
      </c>
      <c r="E1266" t="str">
        <f>"4574674200713774"</f>
        <v>4574674200713774</v>
      </c>
      <c r="F1266" t="str">
        <f>"007"</f>
        <v>007</v>
      </c>
      <c r="G1266">
        <v>1</v>
      </c>
      <c r="H1266">
        <v>2023</v>
      </c>
      <c r="I1266" t="s">
        <v>1381</v>
      </c>
    </row>
    <row r="1267" spans="1:9" x14ac:dyDescent="0.3">
      <c r="A1267" t="s">
        <v>10129</v>
      </c>
      <c r="B1267" t="s">
        <v>106</v>
      </c>
      <c r="C1267">
        <v>9406582649</v>
      </c>
      <c r="D1267" s="2">
        <v>1</v>
      </c>
      <c r="E1267" t="str">
        <f>"4574674200713782"</f>
        <v>4574674200713782</v>
      </c>
      <c r="F1267" t="str">
        <f>"058"</f>
        <v>058</v>
      </c>
      <c r="G1267">
        <v>1</v>
      </c>
      <c r="H1267">
        <v>2023</v>
      </c>
      <c r="I1267" t="s">
        <v>1382</v>
      </c>
    </row>
    <row r="1268" spans="1:9" x14ac:dyDescent="0.3">
      <c r="A1268" t="s">
        <v>10129</v>
      </c>
      <c r="B1268" t="s">
        <v>106</v>
      </c>
      <c r="C1268">
        <v>9406582649</v>
      </c>
      <c r="D1268" s="2">
        <v>1</v>
      </c>
      <c r="E1268" t="str">
        <f>"4574674200714202"</f>
        <v>4574674200714202</v>
      </c>
      <c r="F1268" t="str">
        <f>"709"</f>
        <v>709</v>
      </c>
      <c r="G1268">
        <v>1</v>
      </c>
      <c r="H1268">
        <v>2023</v>
      </c>
      <c r="I1268" t="s">
        <v>1383</v>
      </c>
    </row>
    <row r="1269" spans="1:9" x14ac:dyDescent="0.3">
      <c r="A1269" t="s">
        <v>10129</v>
      </c>
      <c r="B1269" t="s">
        <v>106</v>
      </c>
      <c r="C1269">
        <v>9406582649</v>
      </c>
      <c r="D1269" s="2">
        <v>1</v>
      </c>
      <c r="E1269" t="str">
        <f>"4574674200714210"</f>
        <v>4574674200714210</v>
      </c>
      <c r="F1269" t="str">
        <f>"307"</f>
        <v>307</v>
      </c>
      <c r="G1269">
        <v>1</v>
      </c>
      <c r="H1269">
        <v>2023</v>
      </c>
      <c r="I1269" t="s">
        <v>1384</v>
      </c>
    </row>
    <row r="1270" spans="1:9" x14ac:dyDescent="0.3">
      <c r="A1270" t="s">
        <v>10129</v>
      </c>
      <c r="B1270" t="s">
        <v>106</v>
      </c>
      <c r="C1270">
        <v>9406582649</v>
      </c>
      <c r="D1270" s="2">
        <v>1</v>
      </c>
      <c r="E1270" t="str">
        <f>"4574674200714178"</f>
        <v>4574674200714178</v>
      </c>
      <c r="F1270" t="str">
        <f>"989"</f>
        <v>989</v>
      </c>
      <c r="G1270">
        <v>1</v>
      </c>
      <c r="H1270">
        <v>2023</v>
      </c>
      <c r="I1270" t="s">
        <v>1385</v>
      </c>
    </row>
    <row r="1271" spans="1:9" x14ac:dyDescent="0.3">
      <c r="A1271" t="s">
        <v>10129</v>
      </c>
      <c r="B1271" t="s">
        <v>106</v>
      </c>
      <c r="C1271">
        <v>9406582649</v>
      </c>
      <c r="D1271" s="2">
        <v>1</v>
      </c>
      <c r="E1271" t="str">
        <f>"4574674200714236"</f>
        <v>4574674200714236</v>
      </c>
      <c r="F1271" t="str">
        <f>"397"</f>
        <v>397</v>
      </c>
      <c r="G1271">
        <v>1</v>
      </c>
      <c r="H1271">
        <v>2023</v>
      </c>
      <c r="I1271" t="s">
        <v>1386</v>
      </c>
    </row>
    <row r="1272" spans="1:9" x14ac:dyDescent="0.3">
      <c r="A1272" t="s">
        <v>10130</v>
      </c>
      <c r="B1272" t="s">
        <v>107</v>
      </c>
      <c r="C1272">
        <v>9406582649</v>
      </c>
      <c r="D1272" s="2">
        <v>1</v>
      </c>
      <c r="E1272" t="str">
        <f>"4574674200714277"</f>
        <v>4574674200714277</v>
      </c>
      <c r="F1272" t="str">
        <f>"172"</f>
        <v>172</v>
      </c>
      <c r="G1272">
        <v>1</v>
      </c>
      <c r="H1272">
        <v>2023</v>
      </c>
      <c r="I1272" t="s">
        <v>1387</v>
      </c>
    </row>
    <row r="1273" spans="1:9" x14ac:dyDescent="0.3">
      <c r="A1273" t="s">
        <v>10130</v>
      </c>
      <c r="B1273" t="s">
        <v>107</v>
      </c>
      <c r="C1273">
        <v>9406582649</v>
      </c>
      <c r="D1273" s="2">
        <v>1</v>
      </c>
      <c r="E1273" t="str">
        <f>"4574674200714285"</f>
        <v>4574674200714285</v>
      </c>
      <c r="F1273" t="str">
        <f>"459"</f>
        <v>459</v>
      </c>
      <c r="G1273">
        <v>1</v>
      </c>
      <c r="H1273">
        <v>2023</v>
      </c>
      <c r="I1273" t="s">
        <v>1388</v>
      </c>
    </row>
    <row r="1274" spans="1:9" x14ac:dyDescent="0.3">
      <c r="A1274" t="s">
        <v>10130</v>
      </c>
      <c r="B1274" t="s">
        <v>107</v>
      </c>
      <c r="C1274">
        <v>9406582649</v>
      </c>
      <c r="D1274" s="2">
        <v>1</v>
      </c>
      <c r="E1274" t="str">
        <f>"4574674200714319"</f>
        <v>4574674200714319</v>
      </c>
      <c r="F1274" t="str">
        <f>"171"</f>
        <v>171</v>
      </c>
      <c r="G1274">
        <v>1</v>
      </c>
      <c r="H1274">
        <v>2023</v>
      </c>
      <c r="I1274" t="s">
        <v>1389</v>
      </c>
    </row>
    <row r="1275" spans="1:9" x14ac:dyDescent="0.3">
      <c r="A1275" t="s">
        <v>10130</v>
      </c>
      <c r="B1275" t="s">
        <v>107</v>
      </c>
      <c r="C1275">
        <v>9406582649</v>
      </c>
      <c r="D1275" s="2">
        <v>1</v>
      </c>
      <c r="E1275" t="str">
        <f>"4574674200714350"</f>
        <v>4574674200714350</v>
      </c>
      <c r="F1275" t="str">
        <f>"684"</f>
        <v>684</v>
      </c>
      <c r="G1275">
        <v>1</v>
      </c>
      <c r="H1275">
        <v>2023</v>
      </c>
      <c r="I1275" t="s">
        <v>1390</v>
      </c>
    </row>
    <row r="1276" spans="1:9" x14ac:dyDescent="0.3">
      <c r="A1276" t="s">
        <v>10130</v>
      </c>
      <c r="B1276" t="s">
        <v>107</v>
      </c>
      <c r="C1276">
        <v>9406582649</v>
      </c>
      <c r="D1276" s="2">
        <v>1</v>
      </c>
      <c r="E1276" t="str">
        <f>"4574674200714343"</f>
        <v>4574674200714343</v>
      </c>
      <c r="F1276" t="str">
        <f>"548"</f>
        <v>548</v>
      </c>
      <c r="G1276">
        <v>1</v>
      </c>
      <c r="H1276">
        <v>2023</v>
      </c>
      <c r="I1276" t="s">
        <v>1391</v>
      </c>
    </row>
    <row r="1277" spans="1:9" x14ac:dyDescent="0.3">
      <c r="A1277" t="s">
        <v>10130</v>
      </c>
      <c r="B1277" t="s">
        <v>107</v>
      </c>
      <c r="C1277">
        <v>9406582649</v>
      </c>
      <c r="D1277" s="2">
        <v>1</v>
      </c>
      <c r="E1277" t="str">
        <f>"4574674200714368"</f>
        <v>4574674200714368</v>
      </c>
      <c r="F1277" t="str">
        <f>"099"</f>
        <v>099</v>
      </c>
      <c r="G1277">
        <v>1</v>
      </c>
      <c r="H1277">
        <v>2023</v>
      </c>
      <c r="I1277" t="s">
        <v>1392</v>
      </c>
    </row>
    <row r="1278" spans="1:9" x14ac:dyDescent="0.3">
      <c r="A1278" t="s">
        <v>10130</v>
      </c>
      <c r="B1278" t="s">
        <v>107</v>
      </c>
      <c r="C1278">
        <v>9406582649</v>
      </c>
      <c r="D1278" s="2">
        <v>1</v>
      </c>
      <c r="E1278" t="str">
        <f>"4574674200714384"</f>
        <v>4574674200714384</v>
      </c>
      <c r="F1278" t="str">
        <f>"026"</f>
        <v>026</v>
      </c>
      <c r="G1278">
        <v>1</v>
      </c>
      <c r="H1278">
        <v>2023</v>
      </c>
      <c r="I1278" t="s">
        <v>1393</v>
      </c>
    </row>
    <row r="1279" spans="1:9" x14ac:dyDescent="0.3">
      <c r="A1279" t="s">
        <v>10130</v>
      </c>
      <c r="B1279" t="s">
        <v>107</v>
      </c>
      <c r="C1279">
        <v>9406582649</v>
      </c>
      <c r="D1279" s="2">
        <v>1</v>
      </c>
      <c r="E1279" t="str">
        <f>"4574674200714608"</f>
        <v>4574674200714608</v>
      </c>
      <c r="F1279" t="str">
        <f>"093"</f>
        <v>093</v>
      </c>
      <c r="G1279">
        <v>1</v>
      </c>
      <c r="H1279">
        <v>2023</v>
      </c>
      <c r="I1279" t="s">
        <v>1394</v>
      </c>
    </row>
    <row r="1280" spans="1:9" x14ac:dyDescent="0.3">
      <c r="A1280" t="s">
        <v>10130</v>
      </c>
      <c r="B1280" t="s">
        <v>107</v>
      </c>
      <c r="C1280">
        <v>9406582649</v>
      </c>
      <c r="D1280" s="2">
        <v>1</v>
      </c>
      <c r="E1280" t="str">
        <f>"4574674200714624"</f>
        <v>4574674200714624</v>
      </c>
      <c r="F1280" t="str">
        <f>"352"</f>
        <v>352</v>
      </c>
      <c r="G1280">
        <v>1</v>
      </c>
      <c r="H1280">
        <v>2023</v>
      </c>
      <c r="I1280" t="s">
        <v>1395</v>
      </c>
    </row>
    <row r="1281" spans="1:9" x14ac:dyDescent="0.3">
      <c r="A1281" t="s">
        <v>10130</v>
      </c>
      <c r="B1281" t="s">
        <v>107</v>
      </c>
      <c r="C1281">
        <v>9406582649</v>
      </c>
      <c r="D1281" s="2">
        <v>1</v>
      </c>
      <c r="E1281" t="str">
        <f>"4574674200714665"</f>
        <v>4574674200714665</v>
      </c>
      <c r="F1281" t="str">
        <f>"223"</f>
        <v>223</v>
      </c>
      <c r="G1281">
        <v>1</v>
      </c>
      <c r="H1281">
        <v>2023</v>
      </c>
      <c r="I1281" t="s">
        <v>1396</v>
      </c>
    </row>
    <row r="1282" spans="1:9" x14ac:dyDescent="0.3">
      <c r="A1282" t="s">
        <v>10131</v>
      </c>
      <c r="B1282" t="s">
        <v>108</v>
      </c>
      <c r="C1282">
        <v>9406582649</v>
      </c>
      <c r="D1282" s="2">
        <v>1</v>
      </c>
      <c r="E1282" t="str">
        <f>"4574674200714673"</f>
        <v>4574674200714673</v>
      </c>
      <c r="F1282" t="str">
        <f>"446"</f>
        <v>446</v>
      </c>
      <c r="G1282">
        <v>1</v>
      </c>
      <c r="H1282">
        <v>2023</v>
      </c>
      <c r="I1282" t="s">
        <v>1397</v>
      </c>
    </row>
    <row r="1283" spans="1:9" x14ac:dyDescent="0.3">
      <c r="A1283" t="s">
        <v>10131</v>
      </c>
      <c r="B1283" t="s">
        <v>108</v>
      </c>
      <c r="C1283">
        <v>9406582649</v>
      </c>
      <c r="D1283" s="2">
        <v>1</v>
      </c>
      <c r="E1283" t="str">
        <f>"4574674200714681"</f>
        <v>4574674200714681</v>
      </c>
      <c r="F1283" t="str">
        <f>"171"</f>
        <v>171</v>
      </c>
      <c r="G1283">
        <v>1</v>
      </c>
      <c r="H1283">
        <v>2023</v>
      </c>
      <c r="I1283" t="s">
        <v>1398</v>
      </c>
    </row>
    <row r="1284" spans="1:9" x14ac:dyDescent="0.3">
      <c r="A1284" t="s">
        <v>10131</v>
      </c>
      <c r="B1284" t="s">
        <v>108</v>
      </c>
      <c r="C1284">
        <v>9406582649</v>
      </c>
      <c r="D1284" s="2">
        <v>1</v>
      </c>
      <c r="E1284" t="str">
        <f>"4574674200714715"</f>
        <v>4574674200714715</v>
      </c>
      <c r="F1284" t="str">
        <f>"116"</f>
        <v>116</v>
      </c>
      <c r="G1284">
        <v>1</v>
      </c>
      <c r="H1284">
        <v>2023</v>
      </c>
      <c r="I1284" t="s">
        <v>1399</v>
      </c>
    </row>
    <row r="1285" spans="1:9" x14ac:dyDescent="0.3">
      <c r="A1285" t="s">
        <v>10131</v>
      </c>
      <c r="B1285" t="s">
        <v>108</v>
      </c>
      <c r="C1285">
        <v>9406582649</v>
      </c>
      <c r="D1285" s="2">
        <v>1</v>
      </c>
      <c r="E1285" t="str">
        <f>"4574674200714723"</f>
        <v>4574674200714723</v>
      </c>
      <c r="F1285" t="str">
        <f>"072"</f>
        <v>072</v>
      </c>
      <c r="G1285">
        <v>1</v>
      </c>
      <c r="H1285">
        <v>2023</v>
      </c>
      <c r="I1285" t="s">
        <v>1400</v>
      </c>
    </row>
    <row r="1286" spans="1:9" x14ac:dyDescent="0.3">
      <c r="A1286" t="s">
        <v>10131</v>
      </c>
      <c r="B1286" t="s">
        <v>108</v>
      </c>
      <c r="C1286">
        <v>9406582649</v>
      </c>
      <c r="D1286" s="2">
        <v>1</v>
      </c>
      <c r="E1286" t="str">
        <f>"4574674200714756"</f>
        <v>4574674200714756</v>
      </c>
      <c r="F1286" t="str">
        <f>"597"</f>
        <v>597</v>
      </c>
      <c r="G1286">
        <v>1</v>
      </c>
      <c r="H1286">
        <v>2023</v>
      </c>
      <c r="I1286" t="s">
        <v>1401</v>
      </c>
    </row>
    <row r="1287" spans="1:9" x14ac:dyDescent="0.3">
      <c r="A1287" t="s">
        <v>10131</v>
      </c>
      <c r="B1287" t="s">
        <v>108</v>
      </c>
      <c r="C1287">
        <v>9406582649</v>
      </c>
      <c r="D1287" s="2">
        <v>1</v>
      </c>
      <c r="E1287" t="str">
        <f>"4574674200714772"</f>
        <v>4574674200714772</v>
      </c>
      <c r="F1287" t="str">
        <f>"439"</f>
        <v>439</v>
      </c>
      <c r="G1287">
        <v>1</v>
      </c>
      <c r="H1287">
        <v>2023</v>
      </c>
      <c r="I1287" t="s">
        <v>1402</v>
      </c>
    </row>
    <row r="1288" spans="1:9" x14ac:dyDescent="0.3">
      <c r="A1288" t="s">
        <v>10131</v>
      </c>
      <c r="B1288" t="s">
        <v>108</v>
      </c>
      <c r="C1288">
        <v>9406582649</v>
      </c>
      <c r="D1288" s="2">
        <v>1</v>
      </c>
      <c r="E1288" t="str">
        <f>"4574674200714830"</f>
        <v>4574674200714830</v>
      </c>
      <c r="F1288" t="str">
        <f>"718"</f>
        <v>718</v>
      </c>
      <c r="G1288">
        <v>1</v>
      </c>
      <c r="H1288">
        <v>2023</v>
      </c>
      <c r="I1288" t="s">
        <v>1403</v>
      </c>
    </row>
    <row r="1289" spans="1:9" x14ac:dyDescent="0.3">
      <c r="A1289" t="s">
        <v>10131</v>
      </c>
      <c r="B1289" t="s">
        <v>108</v>
      </c>
      <c r="C1289">
        <v>9406582649</v>
      </c>
      <c r="D1289" s="2">
        <v>1</v>
      </c>
      <c r="E1289" t="str">
        <f>"4574674200714780"</f>
        <v>4574674200714780</v>
      </c>
      <c r="F1289" t="str">
        <f>"726"</f>
        <v>726</v>
      </c>
      <c r="G1289">
        <v>1</v>
      </c>
      <c r="H1289">
        <v>2023</v>
      </c>
      <c r="I1289" t="s">
        <v>1404</v>
      </c>
    </row>
    <row r="1290" spans="1:9" x14ac:dyDescent="0.3">
      <c r="A1290" t="s">
        <v>10131</v>
      </c>
      <c r="B1290" t="s">
        <v>108</v>
      </c>
      <c r="C1290">
        <v>9406582649</v>
      </c>
      <c r="D1290" s="2">
        <v>1</v>
      </c>
      <c r="E1290" t="str">
        <f>"4574674200715019"</f>
        <v>4574674200715019</v>
      </c>
      <c r="F1290" t="str">
        <f>"346"</f>
        <v>346</v>
      </c>
      <c r="G1290">
        <v>1</v>
      </c>
      <c r="H1290">
        <v>2023</v>
      </c>
      <c r="I1290" t="s">
        <v>1405</v>
      </c>
    </row>
    <row r="1291" spans="1:9" x14ac:dyDescent="0.3">
      <c r="A1291" t="s">
        <v>10131</v>
      </c>
      <c r="B1291" t="s">
        <v>108</v>
      </c>
      <c r="C1291">
        <v>9406582649</v>
      </c>
      <c r="D1291" s="2">
        <v>1</v>
      </c>
      <c r="E1291" t="str">
        <f>"4574674200715027"</f>
        <v>4574674200715027</v>
      </c>
      <c r="F1291" t="str">
        <f>"796"</f>
        <v>796</v>
      </c>
      <c r="G1291">
        <v>1</v>
      </c>
      <c r="H1291">
        <v>2023</v>
      </c>
      <c r="I1291" t="s">
        <v>1406</v>
      </c>
    </row>
    <row r="1292" spans="1:9" x14ac:dyDescent="0.3">
      <c r="A1292" t="s">
        <v>10132</v>
      </c>
      <c r="B1292" t="s">
        <v>109</v>
      </c>
      <c r="C1292">
        <v>9406582649</v>
      </c>
      <c r="D1292" s="2">
        <v>1</v>
      </c>
      <c r="E1292" t="str">
        <f>"4574674200715035"</f>
        <v>4574674200715035</v>
      </c>
      <c r="F1292" t="str">
        <f>"415"</f>
        <v>415</v>
      </c>
      <c r="G1292">
        <v>1</v>
      </c>
      <c r="H1292">
        <v>2023</v>
      </c>
      <c r="I1292" t="s">
        <v>1407</v>
      </c>
    </row>
    <row r="1293" spans="1:9" x14ac:dyDescent="0.3">
      <c r="A1293" t="s">
        <v>10132</v>
      </c>
      <c r="B1293" t="s">
        <v>109</v>
      </c>
      <c r="C1293">
        <v>9406582649</v>
      </c>
      <c r="D1293" s="2">
        <v>1</v>
      </c>
      <c r="E1293" t="str">
        <f>"4574674200715068"</f>
        <v>4574674200715068</v>
      </c>
      <c r="F1293" t="str">
        <f>"676"</f>
        <v>676</v>
      </c>
      <c r="G1293">
        <v>1</v>
      </c>
      <c r="H1293">
        <v>2023</v>
      </c>
      <c r="I1293" t="s">
        <v>1408</v>
      </c>
    </row>
    <row r="1294" spans="1:9" x14ac:dyDescent="0.3">
      <c r="A1294" t="s">
        <v>10132</v>
      </c>
      <c r="B1294" t="s">
        <v>109</v>
      </c>
      <c r="C1294">
        <v>9406582649</v>
      </c>
      <c r="D1294" s="2">
        <v>1</v>
      </c>
      <c r="E1294" t="str">
        <f>"4574674200715076"</f>
        <v>4574674200715076</v>
      </c>
      <c r="F1294" t="str">
        <f>"303"</f>
        <v>303</v>
      </c>
      <c r="G1294">
        <v>1</v>
      </c>
      <c r="H1294">
        <v>2023</v>
      </c>
      <c r="I1294" t="s">
        <v>1409</v>
      </c>
    </row>
    <row r="1295" spans="1:9" x14ac:dyDescent="0.3">
      <c r="A1295" t="s">
        <v>10132</v>
      </c>
      <c r="B1295" t="s">
        <v>109</v>
      </c>
      <c r="C1295">
        <v>9406582649</v>
      </c>
      <c r="D1295" s="2">
        <v>1</v>
      </c>
      <c r="E1295" t="str">
        <f>"4574674200715092"</f>
        <v>4574674200715092</v>
      </c>
      <c r="F1295" t="str">
        <f>"459"</f>
        <v>459</v>
      </c>
      <c r="G1295">
        <v>1</v>
      </c>
      <c r="H1295">
        <v>2023</v>
      </c>
      <c r="I1295" t="s">
        <v>1410</v>
      </c>
    </row>
    <row r="1296" spans="1:9" x14ac:dyDescent="0.3">
      <c r="A1296" t="s">
        <v>10132</v>
      </c>
      <c r="B1296" t="s">
        <v>109</v>
      </c>
      <c r="C1296">
        <v>9406582649</v>
      </c>
      <c r="D1296" s="2">
        <v>1</v>
      </c>
      <c r="E1296" t="str">
        <f>"4574674200715100"</f>
        <v>4574674200715100</v>
      </c>
      <c r="F1296" t="str">
        <f>"182"</f>
        <v>182</v>
      </c>
      <c r="G1296">
        <v>1</v>
      </c>
      <c r="H1296">
        <v>2023</v>
      </c>
      <c r="I1296" t="s">
        <v>1411</v>
      </c>
    </row>
    <row r="1297" spans="1:9" x14ac:dyDescent="0.3">
      <c r="A1297" t="s">
        <v>10132</v>
      </c>
      <c r="B1297" t="s">
        <v>109</v>
      </c>
      <c r="C1297">
        <v>9406582649</v>
      </c>
      <c r="D1297" s="2">
        <v>1</v>
      </c>
      <c r="E1297" t="str">
        <f>"4574674200715142"</f>
        <v>4574674200715142</v>
      </c>
      <c r="F1297" t="str">
        <f>"505"</f>
        <v>505</v>
      </c>
      <c r="G1297">
        <v>1</v>
      </c>
      <c r="H1297">
        <v>2023</v>
      </c>
      <c r="I1297" t="s">
        <v>1412</v>
      </c>
    </row>
    <row r="1298" spans="1:9" x14ac:dyDescent="0.3">
      <c r="A1298" t="s">
        <v>10132</v>
      </c>
      <c r="B1298" t="s">
        <v>109</v>
      </c>
      <c r="C1298">
        <v>9406582649</v>
      </c>
      <c r="D1298" s="2">
        <v>1</v>
      </c>
      <c r="E1298" t="str">
        <f>"4574674200715159"</f>
        <v>4574674200715159</v>
      </c>
      <c r="F1298" t="str">
        <f>"709"</f>
        <v>709</v>
      </c>
      <c r="G1298">
        <v>1</v>
      </c>
      <c r="H1298">
        <v>2023</v>
      </c>
      <c r="I1298" t="s">
        <v>1413</v>
      </c>
    </row>
    <row r="1299" spans="1:9" x14ac:dyDescent="0.3">
      <c r="A1299" t="s">
        <v>10132</v>
      </c>
      <c r="B1299" t="s">
        <v>109</v>
      </c>
      <c r="C1299">
        <v>9406582649</v>
      </c>
      <c r="D1299" s="2">
        <v>1</v>
      </c>
      <c r="E1299" t="str">
        <f>"4574674200715225"</f>
        <v>4574674200715225</v>
      </c>
      <c r="F1299" t="str">
        <f>"058"</f>
        <v>058</v>
      </c>
      <c r="G1299">
        <v>1</v>
      </c>
      <c r="H1299">
        <v>2023</v>
      </c>
      <c r="I1299" t="s">
        <v>1414</v>
      </c>
    </row>
    <row r="1300" spans="1:9" x14ac:dyDescent="0.3">
      <c r="A1300" t="s">
        <v>10132</v>
      </c>
      <c r="B1300" t="s">
        <v>109</v>
      </c>
      <c r="C1300">
        <v>9406582649</v>
      </c>
      <c r="D1300" s="2">
        <v>1</v>
      </c>
      <c r="E1300" t="str">
        <f>"4574674200715407"</f>
        <v>4574674200715407</v>
      </c>
      <c r="F1300" t="str">
        <f>"126"</f>
        <v>126</v>
      </c>
      <c r="G1300">
        <v>1</v>
      </c>
      <c r="H1300">
        <v>2023</v>
      </c>
      <c r="I1300" t="s">
        <v>1415</v>
      </c>
    </row>
    <row r="1301" spans="1:9" x14ac:dyDescent="0.3">
      <c r="A1301" t="s">
        <v>10132</v>
      </c>
      <c r="B1301" t="s">
        <v>109</v>
      </c>
      <c r="C1301">
        <v>9406582649</v>
      </c>
      <c r="D1301" s="2">
        <v>1</v>
      </c>
      <c r="E1301" t="str">
        <f>"4574674200715415"</f>
        <v>4574674200715415</v>
      </c>
      <c r="F1301" t="str">
        <f>"013"</f>
        <v>013</v>
      </c>
      <c r="G1301">
        <v>1</v>
      </c>
      <c r="H1301">
        <v>2023</v>
      </c>
      <c r="I1301" t="s">
        <v>1416</v>
      </c>
    </row>
    <row r="1302" spans="1:9" x14ac:dyDescent="0.3">
      <c r="A1302" t="s">
        <v>10133</v>
      </c>
      <c r="B1302" t="s">
        <v>110</v>
      </c>
      <c r="C1302">
        <v>9406980470</v>
      </c>
      <c r="D1302" s="2">
        <v>1</v>
      </c>
      <c r="E1302" t="str">
        <f>"4574674200715431"</f>
        <v>4574674200715431</v>
      </c>
      <c r="F1302" t="str">
        <f>"538"</f>
        <v>538</v>
      </c>
      <c r="G1302">
        <v>1</v>
      </c>
      <c r="H1302">
        <v>2023</v>
      </c>
      <c r="I1302" t="s">
        <v>1417</v>
      </c>
    </row>
    <row r="1303" spans="1:9" x14ac:dyDescent="0.3">
      <c r="A1303" t="s">
        <v>10133</v>
      </c>
      <c r="B1303" t="s">
        <v>110</v>
      </c>
      <c r="C1303">
        <v>9406980470</v>
      </c>
      <c r="D1303" s="2">
        <v>1</v>
      </c>
      <c r="E1303" t="str">
        <f>"4574674200715449"</f>
        <v>4574674200715449</v>
      </c>
      <c r="F1303" t="str">
        <f>"382"</f>
        <v>382</v>
      </c>
      <c r="G1303">
        <v>1</v>
      </c>
      <c r="H1303">
        <v>2023</v>
      </c>
      <c r="I1303" t="s">
        <v>1418</v>
      </c>
    </row>
    <row r="1304" spans="1:9" x14ac:dyDescent="0.3">
      <c r="A1304" t="s">
        <v>10133</v>
      </c>
      <c r="B1304" t="s">
        <v>110</v>
      </c>
      <c r="C1304">
        <v>9406980470</v>
      </c>
      <c r="D1304" s="2">
        <v>1</v>
      </c>
      <c r="E1304" t="str">
        <f>"4574674200715464"</f>
        <v>4574674200715464</v>
      </c>
      <c r="F1304" t="str">
        <f>"891"</f>
        <v>891</v>
      </c>
      <c r="G1304">
        <v>1</v>
      </c>
      <c r="H1304">
        <v>2023</v>
      </c>
      <c r="I1304" t="s">
        <v>1419</v>
      </c>
    </row>
    <row r="1305" spans="1:9" x14ac:dyDescent="0.3">
      <c r="A1305" t="s">
        <v>10133</v>
      </c>
      <c r="B1305" t="s">
        <v>110</v>
      </c>
      <c r="C1305">
        <v>9406980470</v>
      </c>
      <c r="D1305" s="2">
        <v>1</v>
      </c>
      <c r="E1305" t="str">
        <f>"4574674200715480"</f>
        <v>4574674200715480</v>
      </c>
      <c r="F1305" t="str">
        <f>"381"</f>
        <v>381</v>
      </c>
      <c r="G1305">
        <v>1</v>
      </c>
      <c r="H1305">
        <v>2023</v>
      </c>
      <c r="I1305" t="s">
        <v>1420</v>
      </c>
    </row>
    <row r="1306" spans="1:9" x14ac:dyDescent="0.3">
      <c r="A1306" t="s">
        <v>10133</v>
      </c>
      <c r="B1306" t="s">
        <v>110</v>
      </c>
      <c r="C1306">
        <v>9406980470</v>
      </c>
      <c r="D1306" s="2">
        <v>1</v>
      </c>
      <c r="E1306" t="str">
        <f>"4574674200715365"</f>
        <v>4574674200715365</v>
      </c>
      <c r="F1306" t="str">
        <f>"056"</f>
        <v>056</v>
      </c>
      <c r="G1306">
        <v>1</v>
      </c>
      <c r="H1306">
        <v>2023</v>
      </c>
      <c r="I1306" t="s">
        <v>1421</v>
      </c>
    </row>
    <row r="1307" spans="1:9" x14ac:dyDescent="0.3">
      <c r="A1307" t="s">
        <v>10133</v>
      </c>
      <c r="B1307" t="s">
        <v>110</v>
      </c>
      <c r="C1307">
        <v>9406980470</v>
      </c>
      <c r="D1307" s="2">
        <v>1</v>
      </c>
      <c r="E1307" t="str">
        <f>"4574674200715506"</f>
        <v>4574674200715506</v>
      </c>
      <c r="F1307" t="str">
        <f>"592"</f>
        <v>592</v>
      </c>
      <c r="G1307">
        <v>1</v>
      </c>
      <c r="H1307">
        <v>2023</v>
      </c>
      <c r="I1307" t="s">
        <v>1422</v>
      </c>
    </row>
    <row r="1308" spans="1:9" x14ac:dyDescent="0.3">
      <c r="A1308" t="s">
        <v>10133</v>
      </c>
      <c r="B1308" t="s">
        <v>110</v>
      </c>
      <c r="C1308">
        <v>9406980470</v>
      </c>
      <c r="D1308" s="2">
        <v>1</v>
      </c>
      <c r="E1308" t="str">
        <f>"4574674200715530"</f>
        <v>4574674200715530</v>
      </c>
      <c r="F1308" t="str">
        <f>"322"</f>
        <v>322</v>
      </c>
      <c r="G1308">
        <v>1</v>
      </c>
      <c r="H1308">
        <v>2023</v>
      </c>
      <c r="I1308" t="s">
        <v>1423</v>
      </c>
    </row>
    <row r="1309" spans="1:9" x14ac:dyDescent="0.3">
      <c r="A1309" t="s">
        <v>10133</v>
      </c>
      <c r="B1309" t="s">
        <v>110</v>
      </c>
      <c r="C1309">
        <v>9406980470</v>
      </c>
      <c r="D1309" s="2">
        <v>1</v>
      </c>
      <c r="E1309" t="str">
        <f>"4574674200715548"</f>
        <v>4574674200715548</v>
      </c>
      <c r="F1309" t="str">
        <f>"890"</f>
        <v>890</v>
      </c>
      <c r="G1309">
        <v>1</v>
      </c>
      <c r="H1309">
        <v>2023</v>
      </c>
      <c r="I1309" t="s">
        <v>1424</v>
      </c>
    </row>
    <row r="1310" spans="1:9" x14ac:dyDescent="0.3">
      <c r="A1310" t="s">
        <v>10133</v>
      </c>
      <c r="B1310" t="s">
        <v>110</v>
      </c>
      <c r="C1310">
        <v>9406980470</v>
      </c>
      <c r="D1310" s="2">
        <v>1</v>
      </c>
      <c r="E1310" t="str">
        <f>"4574674200715571"</f>
        <v>4574674200715571</v>
      </c>
      <c r="F1310" t="str">
        <f>"737"</f>
        <v>737</v>
      </c>
      <c r="G1310">
        <v>1</v>
      </c>
      <c r="H1310">
        <v>2023</v>
      </c>
      <c r="I1310" t="s">
        <v>1425</v>
      </c>
    </row>
    <row r="1311" spans="1:9" x14ac:dyDescent="0.3">
      <c r="A1311" t="s">
        <v>10133</v>
      </c>
      <c r="B1311" t="s">
        <v>110</v>
      </c>
      <c r="C1311">
        <v>9406980470</v>
      </c>
      <c r="D1311" s="2">
        <v>1</v>
      </c>
      <c r="E1311" t="str">
        <f>"4574674200715597"</f>
        <v>4574674200715597</v>
      </c>
      <c r="F1311" t="str">
        <f>"366"</f>
        <v>366</v>
      </c>
      <c r="G1311">
        <v>1</v>
      </c>
      <c r="H1311">
        <v>2023</v>
      </c>
      <c r="I1311" t="s">
        <v>1426</v>
      </c>
    </row>
    <row r="1312" spans="1:9" x14ac:dyDescent="0.3">
      <c r="A1312" t="s">
        <v>10134</v>
      </c>
      <c r="B1312" t="s">
        <v>111</v>
      </c>
      <c r="C1312">
        <v>9406980470</v>
      </c>
      <c r="D1312" s="2">
        <v>1</v>
      </c>
      <c r="E1312" t="str">
        <f>"4574674200715720"</f>
        <v>4574674200715720</v>
      </c>
      <c r="F1312" t="str">
        <f>"062"</f>
        <v>062</v>
      </c>
      <c r="G1312">
        <v>1</v>
      </c>
      <c r="H1312">
        <v>2023</v>
      </c>
      <c r="I1312" t="s">
        <v>1427</v>
      </c>
    </row>
    <row r="1313" spans="1:9" x14ac:dyDescent="0.3">
      <c r="A1313" t="s">
        <v>10134</v>
      </c>
      <c r="B1313" t="s">
        <v>111</v>
      </c>
      <c r="C1313">
        <v>9406980470</v>
      </c>
      <c r="D1313" s="2">
        <v>1</v>
      </c>
      <c r="E1313" t="str">
        <f>"4574674200715803"</f>
        <v>4574674200715803</v>
      </c>
      <c r="F1313" t="str">
        <f>"047"</f>
        <v>047</v>
      </c>
      <c r="G1313">
        <v>1</v>
      </c>
      <c r="H1313">
        <v>2023</v>
      </c>
      <c r="I1313" t="s">
        <v>1428</v>
      </c>
    </row>
    <row r="1314" spans="1:9" x14ac:dyDescent="0.3">
      <c r="A1314" t="s">
        <v>10134</v>
      </c>
      <c r="B1314" t="s">
        <v>111</v>
      </c>
      <c r="C1314">
        <v>9406980470</v>
      </c>
      <c r="D1314" s="2">
        <v>1</v>
      </c>
      <c r="E1314" t="str">
        <f>"4574674200715837"</f>
        <v>4574674200715837</v>
      </c>
      <c r="F1314" t="str">
        <f>"603"</f>
        <v>603</v>
      </c>
      <c r="G1314">
        <v>1</v>
      </c>
      <c r="H1314">
        <v>2023</v>
      </c>
      <c r="I1314" t="s">
        <v>1429</v>
      </c>
    </row>
    <row r="1315" spans="1:9" x14ac:dyDescent="0.3">
      <c r="A1315" t="s">
        <v>10134</v>
      </c>
      <c r="B1315" t="s">
        <v>111</v>
      </c>
      <c r="C1315">
        <v>9406980470</v>
      </c>
      <c r="D1315" s="2">
        <v>1</v>
      </c>
      <c r="E1315" t="str">
        <f>"4574674200715886"</f>
        <v>4574674200715886</v>
      </c>
      <c r="F1315" t="str">
        <f>"306"</f>
        <v>306</v>
      </c>
      <c r="G1315">
        <v>1</v>
      </c>
      <c r="H1315">
        <v>2023</v>
      </c>
      <c r="I1315" t="s">
        <v>1430</v>
      </c>
    </row>
    <row r="1316" spans="1:9" x14ac:dyDescent="0.3">
      <c r="A1316" t="s">
        <v>10134</v>
      </c>
      <c r="B1316" t="s">
        <v>111</v>
      </c>
      <c r="C1316">
        <v>9406980470</v>
      </c>
      <c r="D1316" s="2">
        <v>1</v>
      </c>
      <c r="E1316" t="str">
        <f>"4574674200715878"</f>
        <v>4574674200715878</v>
      </c>
      <c r="F1316" t="str">
        <f>"328"</f>
        <v>328</v>
      </c>
      <c r="G1316">
        <v>1</v>
      </c>
      <c r="H1316">
        <v>2023</v>
      </c>
      <c r="I1316" t="s">
        <v>1431</v>
      </c>
    </row>
    <row r="1317" spans="1:9" x14ac:dyDescent="0.3">
      <c r="A1317" t="s">
        <v>10134</v>
      </c>
      <c r="B1317" t="s">
        <v>111</v>
      </c>
      <c r="C1317">
        <v>9406980470</v>
      </c>
      <c r="D1317" s="2">
        <v>1</v>
      </c>
      <c r="E1317" t="str">
        <f>"4574674200715894"</f>
        <v>4574674200715894</v>
      </c>
      <c r="F1317" t="str">
        <f>"116"</f>
        <v>116</v>
      </c>
      <c r="G1317">
        <v>1</v>
      </c>
      <c r="H1317">
        <v>2023</v>
      </c>
      <c r="I1317" t="s">
        <v>1432</v>
      </c>
    </row>
    <row r="1318" spans="1:9" x14ac:dyDescent="0.3">
      <c r="A1318" t="s">
        <v>10134</v>
      </c>
      <c r="B1318" t="s">
        <v>111</v>
      </c>
      <c r="C1318">
        <v>9406980470</v>
      </c>
      <c r="D1318" s="2">
        <v>1</v>
      </c>
      <c r="E1318" t="str">
        <f>"4574674200715910"</f>
        <v>4574674200715910</v>
      </c>
      <c r="F1318" t="str">
        <f>"635"</f>
        <v>635</v>
      </c>
      <c r="G1318">
        <v>1</v>
      </c>
      <c r="H1318">
        <v>2023</v>
      </c>
      <c r="I1318" t="s">
        <v>1433</v>
      </c>
    </row>
    <row r="1319" spans="1:9" x14ac:dyDescent="0.3">
      <c r="A1319" t="s">
        <v>10134</v>
      </c>
      <c r="B1319" t="s">
        <v>111</v>
      </c>
      <c r="C1319">
        <v>9406980470</v>
      </c>
      <c r="D1319" s="2">
        <v>1</v>
      </c>
      <c r="E1319" t="str">
        <f>"4574674200715944"</f>
        <v>4574674200715944</v>
      </c>
      <c r="F1319" t="str">
        <f>"553"</f>
        <v>553</v>
      </c>
      <c r="G1319">
        <v>1</v>
      </c>
      <c r="H1319">
        <v>2023</v>
      </c>
      <c r="I1319" t="s">
        <v>1434</v>
      </c>
    </row>
    <row r="1320" spans="1:9" x14ac:dyDescent="0.3">
      <c r="A1320" t="s">
        <v>10134</v>
      </c>
      <c r="B1320" t="s">
        <v>111</v>
      </c>
      <c r="C1320">
        <v>9406980470</v>
      </c>
      <c r="D1320" s="2">
        <v>1</v>
      </c>
      <c r="E1320" t="str">
        <f>"4574674200715977"</f>
        <v>4574674200715977</v>
      </c>
      <c r="F1320" t="str">
        <f>"251"</f>
        <v>251</v>
      </c>
      <c r="G1320">
        <v>1</v>
      </c>
      <c r="H1320">
        <v>2023</v>
      </c>
      <c r="I1320" t="s">
        <v>1435</v>
      </c>
    </row>
    <row r="1321" spans="1:9" x14ac:dyDescent="0.3">
      <c r="A1321" t="s">
        <v>10134</v>
      </c>
      <c r="B1321" t="s">
        <v>111</v>
      </c>
      <c r="C1321">
        <v>9406980470</v>
      </c>
      <c r="D1321" s="2">
        <v>1</v>
      </c>
      <c r="E1321" t="str">
        <f>"4574674200715985"</f>
        <v>4574674200715985</v>
      </c>
      <c r="F1321" t="str">
        <f>"392"</f>
        <v>392</v>
      </c>
      <c r="G1321">
        <v>1</v>
      </c>
      <c r="H1321">
        <v>2023</v>
      </c>
      <c r="I1321" t="s">
        <v>1436</v>
      </c>
    </row>
    <row r="1322" spans="1:9" x14ac:dyDescent="0.3">
      <c r="A1322" t="s">
        <v>10135</v>
      </c>
      <c r="B1322" t="s">
        <v>112</v>
      </c>
      <c r="C1322">
        <v>9406980470</v>
      </c>
      <c r="D1322" s="2">
        <v>1</v>
      </c>
      <c r="E1322" t="str">
        <f>"4574674200716207"</f>
        <v>4574674200716207</v>
      </c>
      <c r="F1322" t="str">
        <f>"629"</f>
        <v>629</v>
      </c>
      <c r="G1322">
        <v>1</v>
      </c>
      <c r="H1322">
        <v>2023</v>
      </c>
      <c r="I1322" t="s">
        <v>1437</v>
      </c>
    </row>
    <row r="1323" spans="1:9" x14ac:dyDescent="0.3">
      <c r="A1323" t="s">
        <v>10135</v>
      </c>
      <c r="B1323" t="s">
        <v>112</v>
      </c>
      <c r="C1323">
        <v>9406980470</v>
      </c>
      <c r="D1323" s="2">
        <v>1</v>
      </c>
      <c r="E1323" t="str">
        <f>"4574674200716215"</f>
        <v>4574674200716215</v>
      </c>
      <c r="F1323" t="str">
        <f>"709"</f>
        <v>709</v>
      </c>
      <c r="G1323">
        <v>1</v>
      </c>
      <c r="H1323">
        <v>2023</v>
      </c>
      <c r="I1323" t="s">
        <v>1438</v>
      </c>
    </row>
    <row r="1324" spans="1:9" x14ac:dyDescent="0.3">
      <c r="A1324" t="s">
        <v>10135</v>
      </c>
      <c r="B1324" t="s">
        <v>112</v>
      </c>
      <c r="C1324">
        <v>9406980470</v>
      </c>
      <c r="D1324" s="2">
        <v>1</v>
      </c>
      <c r="E1324" t="str">
        <f>"4574674200716256"</f>
        <v>4574674200716256</v>
      </c>
      <c r="F1324" t="str">
        <f>"614"</f>
        <v>614</v>
      </c>
      <c r="G1324">
        <v>1</v>
      </c>
      <c r="H1324">
        <v>2023</v>
      </c>
      <c r="I1324" t="s">
        <v>1439</v>
      </c>
    </row>
    <row r="1325" spans="1:9" x14ac:dyDescent="0.3">
      <c r="A1325" t="s">
        <v>10135</v>
      </c>
      <c r="B1325" t="s">
        <v>112</v>
      </c>
      <c r="C1325">
        <v>9406980470</v>
      </c>
      <c r="D1325" s="2">
        <v>1</v>
      </c>
      <c r="E1325" t="str">
        <f>"4574674200716272"</f>
        <v>4574674200716272</v>
      </c>
      <c r="F1325" t="str">
        <f>"131"</f>
        <v>131</v>
      </c>
      <c r="G1325">
        <v>1</v>
      </c>
      <c r="H1325">
        <v>2023</v>
      </c>
      <c r="I1325" t="s">
        <v>1440</v>
      </c>
    </row>
    <row r="1326" spans="1:9" x14ac:dyDescent="0.3">
      <c r="A1326" t="s">
        <v>10135</v>
      </c>
      <c r="B1326" t="s">
        <v>112</v>
      </c>
      <c r="C1326">
        <v>9406980470</v>
      </c>
      <c r="D1326" s="2">
        <v>1</v>
      </c>
      <c r="E1326" t="str">
        <f>"4574674200716264"</f>
        <v>4574674200716264</v>
      </c>
      <c r="F1326" t="str">
        <f>"031"</f>
        <v>031</v>
      </c>
      <c r="G1326">
        <v>1</v>
      </c>
      <c r="H1326">
        <v>2023</v>
      </c>
      <c r="I1326" t="s">
        <v>1441</v>
      </c>
    </row>
    <row r="1327" spans="1:9" x14ac:dyDescent="0.3">
      <c r="A1327" t="s">
        <v>10135</v>
      </c>
      <c r="B1327" t="s">
        <v>112</v>
      </c>
      <c r="C1327">
        <v>9406980470</v>
      </c>
      <c r="D1327" s="2">
        <v>1</v>
      </c>
      <c r="E1327" t="str">
        <f>"4574674200716306"</f>
        <v>4574674200716306</v>
      </c>
      <c r="F1327" t="str">
        <f>"465"</f>
        <v>465</v>
      </c>
      <c r="G1327">
        <v>1</v>
      </c>
      <c r="H1327">
        <v>2023</v>
      </c>
      <c r="I1327" t="s">
        <v>1442</v>
      </c>
    </row>
    <row r="1328" spans="1:9" x14ac:dyDescent="0.3">
      <c r="A1328" t="s">
        <v>10135</v>
      </c>
      <c r="B1328" t="s">
        <v>112</v>
      </c>
      <c r="C1328">
        <v>9406980470</v>
      </c>
      <c r="D1328" s="2">
        <v>1</v>
      </c>
      <c r="E1328" t="str">
        <f>"4574674200716090"</f>
        <v>4574674200716090</v>
      </c>
      <c r="F1328" t="str">
        <f>"895"</f>
        <v>895</v>
      </c>
      <c r="G1328">
        <v>1</v>
      </c>
      <c r="H1328">
        <v>2023</v>
      </c>
      <c r="I1328" t="s">
        <v>1443</v>
      </c>
    </row>
    <row r="1329" spans="1:9" x14ac:dyDescent="0.3">
      <c r="A1329" t="s">
        <v>10135</v>
      </c>
      <c r="B1329" t="s">
        <v>112</v>
      </c>
      <c r="C1329">
        <v>9406980470</v>
      </c>
      <c r="D1329" s="2">
        <v>1</v>
      </c>
      <c r="E1329" t="str">
        <f>"4574674200716322"</f>
        <v>4574674200716322</v>
      </c>
      <c r="F1329" t="str">
        <f>"840"</f>
        <v>840</v>
      </c>
      <c r="G1329">
        <v>1</v>
      </c>
      <c r="H1329">
        <v>2023</v>
      </c>
      <c r="I1329" t="s">
        <v>1444</v>
      </c>
    </row>
    <row r="1330" spans="1:9" x14ac:dyDescent="0.3">
      <c r="A1330" t="s">
        <v>10135</v>
      </c>
      <c r="B1330" t="s">
        <v>112</v>
      </c>
      <c r="C1330">
        <v>9406980470</v>
      </c>
      <c r="D1330" s="2">
        <v>1</v>
      </c>
      <c r="E1330" t="str">
        <f>"4574674200716330"</f>
        <v>4574674200716330</v>
      </c>
      <c r="F1330" t="str">
        <f>"991"</f>
        <v>991</v>
      </c>
      <c r="G1330">
        <v>1</v>
      </c>
      <c r="H1330">
        <v>2023</v>
      </c>
      <c r="I1330" t="s">
        <v>1445</v>
      </c>
    </row>
    <row r="1331" spans="1:9" x14ac:dyDescent="0.3">
      <c r="A1331" t="s">
        <v>10135</v>
      </c>
      <c r="B1331" t="s">
        <v>112</v>
      </c>
      <c r="C1331">
        <v>9406980470</v>
      </c>
      <c r="D1331" s="2">
        <v>1</v>
      </c>
      <c r="E1331" t="str">
        <f>"4574674200716363"</f>
        <v>4574674200716363</v>
      </c>
      <c r="F1331" t="str">
        <f>"757"</f>
        <v>757</v>
      </c>
      <c r="G1331">
        <v>1</v>
      </c>
      <c r="H1331">
        <v>2023</v>
      </c>
      <c r="I1331" t="s">
        <v>1446</v>
      </c>
    </row>
    <row r="1332" spans="1:9" x14ac:dyDescent="0.3">
      <c r="A1332" t="s">
        <v>10136</v>
      </c>
      <c r="B1332" t="s">
        <v>113</v>
      </c>
      <c r="C1332">
        <v>9406980470</v>
      </c>
      <c r="D1332" s="2">
        <v>1</v>
      </c>
      <c r="E1332" t="str">
        <f>"4574674200716397"</f>
        <v>4574674200716397</v>
      </c>
      <c r="F1332" t="str">
        <f>"749"</f>
        <v>749</v>
      </c>
      <c r="G1332">
        <v>1</v>
      </c>
      <c r="H1332">
        <v>2023</v>
      </c>
      <c r="I1332" t="s">
        <v>1447</v>
      </c>
    </row>
    <row r="1333" spans="1:9" x14ac:dyDescent="0.3">
      <c r="A1333" t="s">
        <v>10136</v>
      </c>
      <c r="B1333" t="s">
        <v>113</v>
      </c>
      <c r="C1333">
        <v>9406980470</v>
      </c>
      <c r="D1333" s="2">
        <v>1</v>
      </c>
      <c r="E1333" t="str">
        <f>"4574674200716611"</f>
        <v>4574674200716611</v>
      </c>
      <c r="F1333" t="str">
        <f>"042"</f>
        <v>042</v>
      </c>
      <c r="G1333">
        <v>1</v>
      </c>
      <c r="H1333">
        <v>2023</v>
      </c>
      <c r="I1333" t="s">
        <v>1448</v>
      </c>
    </row>
    <row r="1334" spans="1:9" x14ac:dyDescent="0.3">
      <c r="A1334" t="s">
        <v>10136</v>
      </c>
      <c r="B1334" t="s">
        <v>113</v>
      </c>
      <c r="C1334">
        <v>9406980470</v>
      </c>
      <c r="D1334" s="2">
        <v>1</v>
      </c>
      <c r="E1334" t="str">
        <f>"4574674200716637"</f>
        <v>4574674200716637</v>
      </c>
      <c r="F1334" t="str">
        <f>"699"</f>
        <v>699</v>
      </c>
      <c r="G1334">
        <v>1</v>
      </c>
      <c r="H1334">
        <v>2023</v>
      </c>
      <c r="I1334" t="s">
        <v>1449</v>
      </c>
    </row>
    <row r="1335" spans="1:9" x14ac:dyDescent="0.3">
      <c r="A1335" t="s">
        <v>10136</v>
      </c>
      <c r="B1335" t="s">
        <v>113</v>
      </c>
      <c r="C1335">
        <v>9406980470</v>
      </c>
      <c r="D1335" s="2">
        <v>1</v>
      </c>
      <c r="E1335" t="str">
        <f>"4574674200716520"</f>
        <v>4574674200716520</v>
      </c>
      <c r="F1335" t="str">
        <f>"322"</f>
        <v>322</v>
      </c>
      <c r="G1335">
        <v>1</v>
      </c>
      <c r="H1335">
        <v>2023</v>
      </c>
      <c r="I1335" t="s">
        <v>1450</v>
      </c>
    </row>
    <row r="1336" spans="1:9" x14ac:dyDescent="0.3">
      <c r="A1336" t="s">
        <v>10136</v>
      </c>
      <c r="B1336" t="s">
        <v>113</v>
      </c>
      <c r="C1336">
        <v>9406980470</v>
      </c>
      <c r="D1336" s="2">
        <v>1</v>
      </c>
      <c r="E1336" t="str">
        <f>"4574674200716645"</f>
        <v>4574674200716645</v>
      </c>
      <c r="F1336" t="str">
        <f>"442"</f>
        <v>442</v>
      </c>
      <c r="G1336">
        <v>1</v>
      </c>
      <c r="H1336">
        <v>2023</v>
      </c>
      <c r="I1336" t="s">
        <v>1451</v>
      </c>
    </row>
    <row r="1337" spans="1:9" x14ac:dyDescent="0.3">
      <c r="A1337" t="s">
        <v>10136</v>
      </c>
      <c r="B1337" t="s">
        <v>113</v>
      </c>
      <c r="C1337">
        <v>9406980470</v>
      </c>
      <c r="D1337" s="2">
        <v>1</v>
      </c>
      <c r="E1337" t="str">
        <f>"4574674200716652"</f>
        <v>4574674200716652</v>
      </c>
      <c r="F1337" t="str">
        <f>"272"</f>
        <v>272</v>
      </c>
      <c r="G1337">
        <v>1</v>
      </c>
      <c r="H1337">
        <v>2023</v>
      </c>
      <c r="I1337" t="s">
        <v>1452</v>
      </c>
    </row>
    <row r="1338" spans="1:9" x14ac:dyDescent="0.3">
      <c r="A1338" t="s">
        <v>10136</v>
      </c>
      <c r="B1338" t="s">
        <v>113</v>
      </c>
      <c r="C1338">
        <v>9406980470</v>
      </c>
      <c r="D1338" s="2">
        <v>1</v>
      </c>
      <c r="E1338" t="str">
        <f>"4574674200716686"</f>
        <v>4574674200716686</v>
      </c>
      <c r="F1338" t="str">
        <f>"405"</f>
        <v>405</v>
      </c>
      <c r="G1338">
        <v>1</v>
      </c>
      <c r="H1338">
        <v>2023</v>
      </c>
      <c r="I1338" t="s">
        <v>1453</v>
      </c>
    </row>
    <row r="1339" spans="1:9" x14ac:dyDescent="0.3">
      <c r="A1339" t="s">
        <v>10136</v>
      </c>
      <c r="B1339" t="s">
        <v>113</v>
      </c>
      <c r="C1339">
        <v>9406980470</v>
      </c>
      <c r="D1339" s="2">
        <v>1</v>
      </c>
      <c r="E1339" t="str">
        <f>"4574674200716678"</f>
        <v>4574674200716678</v>
      </c>
      <c r="F1339" t="str">
        <f>"790"</f>
        <v>790</v>
      </c>
      <c r="G1339">
        <v>1</v>
      </c>
      <c r="H1339">
        <v>2023</v>
      </c>
      <c r="I1339" t="s">
        <v>1454</v>
      </c>
    </row>
    <row r="1340" spans="1:9" x14ac:dyDescent="0.3">
      <c r="A1340" t="s">
        <v>10136</v>
      </c>
      <c r="B1340" t="s">
        <v>113</v>
      </c>
      <c r="C1340">
        <v>9406980470</v>
      </c>
      <c r="D1340" s="2">
        <v>1</v>
      </c>
      <c r="E1340" t="str">
        <f>"4574674200716728"</f>
        <v>4574674200716728</v>
      </c>
      <c r="F1340" t="str">
        <f>"800"</f>
        <v>800</v>
      </c>
      <c r="G1340">
        <v>1</v>
      </c>
      <c r="H1340">
        <v>2023</v>
      </c>
      <c r="I1340" t="s">
        <v>1455</v>
      </c>
    </row>
    <row r="1341" spans="1:9" x14ac:dyDescent="0.3">
      <c r="A1341" t="s">
        <v>10136</v>
      </c>
      <c r="B1341" t="s">
        <v>113</v>
      </c>
      <c r="C1341">
        <v>9406980470</v>
      </c>
      <c r="D1341" s="2">
        <v>1</v>
      </c>
      <c r="E1341" t="str">
        <f>"4574674200716751"</f>
        <v>4574674200716751</v>
      </c>
      <c r="F1341" t="str">
        <f>"435"</f>
        <v>435</v>
      </c>
      <c r="G1341">
        <v>1</v>
      </c>
      <c r="H1341">
        <v>2023</v>
      </c>
      <c r="I1341" t="s">
        <v>1456</v>
      </c>
    </row>
    <row r="1342" spans="1:9" x14ac:dyDescent="0.3">
      <c r="A1342" t="s">
        <v>10137</v>
      </c>
      <c r="B1342" t="s">
        <v>114</v>
      </c>
      <c r="C1342">
        <v>9406980470</v>
      </c>
      <c r="D1342" s="2">
        <v>1</v>
      </c>
      <c r="E1342" t="str">
        <f>"4574674200716876"</f>
        <v>4574674200716876</v>
      </c>
      <c r="F1342" t="str">
        <f>"562"</f>
        <v>562</v>
      </c>
      <c r="G1342">
        <v>1</v>
      </c>
      <c r="H1342">
        <v>2023</v>
      </c>
      <c r="I1342" t="s">
        <v>1457</v>
      </c>
    </row>
    <row r="1343" spans="1:9" x14ac:dyDescent="0.3">
      <c r="A1343" t="s">
        <v>10137</v>
      </c>
      <c r="B1343" t="s">
        <v>114</v>
      </c>
      <c r="C1343">
        <v>9406980470</v>
      </c>
      <c r="D1343" s="2">
        <v>1</v>
      </c>
      <c r="E1343" t="str">
        <f>"4574674200716769"</f>
        <v>4574674200716769</v>
      </c>
      <c r="F1343" t="str">
        <f>"754"</f>
        <v>754</v>
      </c>
      <c r="G1343">
        <v>1</v>
      </c>
      <c r="H1343">
        <v>2023</v>
      </c>
      <c r="I1343" t="s">
        <v>1458</v>
      </c>
    </row>
    <row r="1344" spans="1:9" x14ac:dyDescent="0.3">
      <c r="A1344" t="s">
        <v>10137</v>
      </c>
      <c r="B1344" t="s">
        <v>114</v>
      </c>
      <c r="C1344">
        <v>9406980470</v>
      </c>
      <c r="D1344" s="2">
        <v>1</v>
      </c>
      <c r="E1344" t="str">
        <f>"4574674200716785"</f>
        <v>4574674200716785</v>
      </c>
      <c r="F1344" t="str">
        <f>"735"</f>
        <v>735</v>
      </c>
      <c r="G1344">
        <v>1</v>
      </c>
      <c r="H1344">
        <v>2023</v>
      </c>
      <c r="I1344" t="s">
        <v>1459</v>
      </c>
    </row>
    <row r="1345" spans="1:9" x14ac:dyDescent="0.3">
      <c r="A1345" t="s">
        <v>10137</v>
      </c>
      <c r="B1345" t="s">
        <v>114</v>
      </c>
      <c r="C1345">
        <v>9406980470</v>
      </c>
      <c r="D1345" s="2">
        <v>1</v>
      </c>
      <c r="E1345" t="str">
        <f>"4574674200716793"</f>
        <v>4574674200716793</v>
      </c>
      <c r="F1345" t="str">
        <f>"818"</f>
        <v>818</v>
      </c>
      <c r="G1345">
        <v>1</v>
      </c>
      <c r="H1345">
        <v>2023</v>
      </c>
      <c r="I1345" t="s">
        <v>1460</v>
      </c>
    </row>
    <row r="1346" spans="1:9" x14ac:dyDescent="0.3">
      <c r="A1346" t="s">
        <v>10137</v>
      </c>
      <c r="B1346" t="s">
        <v>114</v>
      </c>
      <c r="C1346">
        <v>9406980470</v>
      </c>
      <c r="D1346" s="2">
        <v>1</v>
      </c>
      <c r="E1346" t="str">
        <f>"4574674200717007"</f>
        <v>4574674200717007</v>
      </c>
      <c r="F1346" t="str">
        <f>"683"</f>
        <v>683</v>
      </c>
      <c r="G1346">
        <v>1</v>
      </c>
      <c r="H1346">
        <v>2023</v>
      </c>
      <c r="I1346" t="s">
        <v>1461</v>
      </c>
    </row>
    <row r="1347" spans="1:9" x14ac:dyDescent="0.3">
      <c r="A1347" t="s">
        <v>10137</v>
      </c>
      <c r="B1347" t="s">
        <v>114</v>
      </c>
      <c r="C1347">
        <v>9406980470</v>
      </c>
      <c r="D1347" s="2">
        <v>1</v>
      </c>
      <c r="E1347" t="str">
        <f>"4574674200717031"</f>
        <v>4574674200717031</v>
      </c>
      <c r="F1347" t="str">
        <f>"863"</f>
        <v>863</v>
      </c>
      <c r="G1347">
        <v>1</v>
      </c>
      <c r="H1347">
        <v>2023</v>
      </c>
      <c r="I1347" t="s">
        <v>1462</v>
      </c>
    </row>
    <row r="1348" spans="1:9" x14ac:dyDescent="0.3">
      <c r="A1348" t="s">
        <v>10137</v>
      </c>
      <c r="B1348" t="s">
        <v>114</v>
      </c>
      <c r="C1348">
        <v>9406980470</v>
      </c>
      <c r="D1348" s="2">
        <v>1</v>
      </c>
      <c r="E1348" t="str">
        <f>"4574674200717064"</f>
        <v>4574674200717064</v>
      </c>
      <c r="F1348" t="str">
        <f>"538"</f>
        <v>538</v>
      </c>
      <c r="G1348">
        <v>1</v>
      </c>
      <c r="H1348">
        <v>2023</v>
      </c>
      <c r="I1348" t="s">
        <v>1463</v>
      </c>
    </row>
    <row r="1349" spans="1:9" x14ac:dyDescent="0.3">
      <c r="A1349" t="s">
        <v>10137</v>
      </c>
      <c r="B1349" t="s">
        <v>114</v>
      </c>
      <c r="C1349">
        <v>9406980470</v>
      </c>
      <c r="D1349" s="2">
        <v>1</v>
      </c>
      <c r="E1349" t="str">
        <f>"4574674200717262"</f>
        <v>4574674200717262</v>
      </c>
      <c r="F1349" t="str">
        <f>"520"</f>
        <v>520</v>
      </c>
      <c r="G1349">
        <v>1</v>
      </c>
      <c r="H1349">
        <v>2023</v>
      </c>
      <c r="I1349" t="s">
        <v>1464</v>
      </c>
    </row>
    <row r="1350" spans="1:9" x14ac:dyDescent="0.3">
      <c r="A1350" t="s">
        <v>10137</v>
      </c>
      <c r="B1350" t="s">
        <v>114</v>
      </c>
      <c r="C1350">
        <v>9406980470</v>
      </c>
      <c r="D1350" s="2">
        <v>1</v>
      </c>
      <c r="E1350" t="str">
        <f>"4574674200717080"</f>
        <v>4574674200717080</v>
      </c>
      <c r="F1350" t="str">
        <f>"733"</f>
        <v>733</v>
      </c>
      <c r="G1350">
        <v>1</v>
      </c>
      <c r="H1350">
        <v>2023</v>
      </c>
      <c r="I1350" t="s">
        <v>1465</v>
      </c>
    </row>
    <row r="1351" spans="1:9" x14ac:dyDescent="0.3">
      <c r="A1351" t="s">
        <v>10137</v>
      </c>
      <c r="B1351" t="s">
        <v>114</v>
      </c>
      <c r="C1351">
        <v>9406980470</v>
      </c>
      <c r="D1351" s="2">
        <v>1</v>
      </c>
      <c r="E1351" t="str">
        <f>"4574674200717122"</f>
        <v>4574674200717122</v>
      </c>
      <c r="F1351" t="str">
        <f>"446"</f>
        <v>446</v>
      </c>
      <c r="G1351">
        <v>1</v>
      </c>
      <c r="H1351">
        <v>2023</v>
      </c>
      <c r="I1351" t="s">
        <v>1466</v>
      </c>
    </row>
    <row r="1352" spans="1:9" x14ac:dyDescent="0.3">
      <c r="A1352" t="s">
        <v>10138</v>
      </c>
      <c r="B1352" t="s">
        <v>115</v>
      </c>
      <c r="C1352">
        <v>9406980470</v>
      </c>
      <c r="D1352" s="2">
        <v>1</v>
      </c>
      <c r="E1352" t="str">
        <f>"4574674200717098"</f>
        <v>4574674200717098</v>
      </c>
      <c r="F1352" t="str">
        <f>"196"</f>
        <v>196</v>
      </c>
      <c r="G1352">
        <v>1</v>
      </c>
      <c r="H1352">
        <v>2023</v>
      </c>
      <c r="I1352" t="s">
        <v>1467</v>
      </c>
    </row>
    <row r="1353" spans="1:9" x14ac:dyDescent="0.3">
      <c r="A1353" t="s">
        <v>10138</v>
      </c>
      <c r="B1353" t="s">
        <v>115</v>
      </c>
      <c r="C1353">
        <v>9406980470</v>
      </c>
      <c r="D1353" s="2">
        <v>1</v>
      </c>
      <c r="E1353" t="str">
        <f>"4574674200717114"</f>
        <v>4574674200717114</v>
      </c>
      <c r="F1353" t="str">
        <f>"942"</f>
        <v>942</v>
      </c>
      <c r="G1353">
        <v>1</v>
      </c>
      <c r="H1353">
        <v>2023</v>
      </c>
      <c r="I1353" t="s">
        <v>1468</v>
      </c>
    </row>
    <row r="1354" spans="1:9" x14ac:dyDescent="0.3">
      <c r="A1354" t="s">
        <v>10138</v>
      </c>
      <c r="B1354" t="s">
        <v>115</v>
      </c>
      <c r="C1354">
        <v>9406980470</v>
      </c>
      <c r="D1354" s="2">
        <v>1</v>
      </c>
      <c r="E1354" t="str">
        <f>"4574674200717148"</f>
        <v>4574674200717148</v>
      </c>
      <c r="F1354" t="str">
        <f>"024"</f>
        <v>024</v>
      </c>
      <c r="G1354">
        <v>1</v>
      </c>
      <c r="H1354">
        <v>2023</v>
      </c>
      <c r="I1354" t="s">
        <v>1469</v>
      </c>
    </row>
    <row r="1355" spans="1:9" x14ac:dyDescent="0.3">
      <c r="A1355" t="s">
        <v>10138</v>
      </c>
      <c r="B1355" t="s">
        <v>115</v>
      </c>
      <c r="C1355">
        <v>9406980470</v>
      </c>
      <c r="D1355" s="2">
        <v>1</v>
      </c>
      <c r="E1355" t="str">
        <f>"4574674200717445"</f>
        <v>4574674200717445</v>
      </c>
      <c r="F1355" t="str">
        <f>"829"</f>
        <v>829</v>
      </c>
      <c r="G1355">
        <v>1</v>
      </c>
      <c r="H1355">
        <v>2023</v>
      </c>
      <c r="I1355" t="s">
        <v>1470</v>
      </c>
    </row>
    <row r="1356" spans="1:9" x14ac:dyDescent="0.3">
      <c r="A1356" t="s">
        <v>10138</v>
      </c>
      <c r="B1356" t="s">
        <v>115</v>
      </c>
      <c r="C1356">
        <v>9406980470</v>
      </c>
      <c r="D1356" s="2">
        <v>1</v>
      </c>
      <c r="E1356" t="str">
        <f>"4574674200717189"</f>
        <v>4574674200717189</v>
      </c>
      <c r="F1356" t="str">
        <f>"909"</f>
        <v>909</v>
      </c>
      <c r="G1356">
        <v>1</v>
      </c>
      <c r="H1356">
        <v>2023</v>
      </c>
      <c r="I1356" t="s">
        <v>1471</v>
      </c>
    </row>
    <row r="1357" spans="1:9" x14ac:dyDescent="0.3">
      <c r="A1357" t="s">
        <v>10138</v>
      </c>
      <c r="B1357" t="s">
        <v>115</v>
      </c>
      <c r="C1357">
        <v>9406980470</v>
      </c>
      <c r="D1357" s="2">
        <v>1</v>
      </c>
      <c r="E1357" t="str">
        <f>"4574674200717601"</f>
        <v>4574674200717601</v>
      </c>
      <c r="F1357" t="str">
        <f>"483"</f>
        <v>483</v>
      </c>
      <c r="G1357">
        <v>1</v>
      </c>
      <c r="H1357">
        <v>2023</v>
      </c>
      <c r="I1357" t="s">
        <v>1472</v>
      </c>
    </row>
    <row r="1358" spans="1:9" x14ac:dyDescent="0.3">
      <c r="A1358" t="s">
        <v>10138</v>
      </c>
      <c r="B1358" t="s">
        <v>115</v>
      </c>
      <c r="C1358">
        <v>9406980470</v>
      </c>
      <c r="D1358" s="2">
        <v>1</v>
      </c>
      <c r="E1358" t="str">
        <f>"4574674200717619"</f>
        <v>4574674200717619</v>
      </c>
      <c r="F1358" t="str">
        <f>"276"</f>
        <v>276</v>
      </c>
      <c r="G1358">
        <v>1</v>
      </c>
      <c r="H1358">
        <v>2023</v>
      </c>
      <c r="I1358" t="s">
        <v>1473</v>
      </c>
    </row>
    <row r="1359" spans="1:9" x14ac:dyDescent="0.3">
      <c r="A1359" t="s">
        <v>10138</v>
      </c>
      <c r="B1359" t="s">
        <v>115</v>
      </c>
      <c r="C1359">
        <v>9406980470</v>
      </c>
      <c r="D1359" s="2">
        <v>1</v>
      </c>
      <c r="E1359" t="str">
        <f>"4574674200717635"</f>
        <v>4574674200717635</v>
      </c>
      <c r="F1359" t="str">
        <f>"349"</f>
        <v>349</v>
      </c>
      <c r="G1359">
        <v>1</v>
      </c>
      <c r="H1359">
        <v>2023</v>
      </c>
      <c r="I1359" t="s">
        <v>1474</v>
      </c>
    </row>
    <row r="1360" spans="1:9" x14ac:dyDescent="0.3">
      <c r="A1360" t="s">
        <v>10138</v>
      </c>
      <c r="B1360" t="s">
        <v>115</v>
      </c>
      <c r="C1360">
        <v>9406980470</v>
      </c>
      <c r="D1360" s="2">
        <v>1</v>
      </c>
      <c r="E1360" t="str">
        <f>"4574674200717643"</f>
        <v>4574674200717643</v>
      </c>
      <c r="F1360" t="str">
        <f>"615"</f>
        <v>615</v>
      </c>
      <c r="G1360">
        <v>1</v>
      </c>
      <c r="H1360">
        <v>2023</v>
      </c>
      <c r="I1360" t="s">
        <v>1475</v>
      </c>
    </row>
    <row r="1361" spans="1:9" x14ac:dyDescent="0.3">
      <c r="A1361" t="s">
        <v>10138</v>
      </c>
      <c r="B1361" t="s">
        <v>115</v>
      </c>
      <c r="C1361">
        <v>9406980470</v>
      </c>
      <c r="D1361" s="2">
        <v>1</v>
      </c>
      <c r="E1361" t="str">
        <f>"4574674200717668"</f>
        <v>4574674200717668</v>
      </c>
      <c r="F1361" t="str">
        <f>"932"</f>
        <v>932</v>
      </c>
      <c r="G1361">
        <v>1</v>
      </c>
      <c r="H1361">
        <v>2023</v>
      </c>
      <c r="I1361" t="s">
        <v>1476</v>
      </c>
    </row>
    <row r="1362" spans="1:9" x14ac:dyDescent="0.3">
      <c r="A1362" t="s">
        <v>10139</v>
      </c>
      <c r="B1362" t="s">
        <v>116</v>
      </c>
      <c r="C1362">
        <v>9406980470</v>
      </c>
      <c r="D1362" s="2">
        <v>1</v>
      </c>
      <c r="E1362" t="str">
        <f>"4574674200717809"</f>
        <v>4574674200717809</v>
      </c>
      <c r="F1362" t="str">
        <f>"545"</f>
        <v>545</v>
      </c>
      <c r="G1362">
        <v>1</v>
      </c>
      <c r="H1362">
        <v>2023</v>
      </c>
      <c r="I1362" t="s">
        <v>1477</v>
      </c>
    </row>
    <row r="1363" spans="1:9" x14ac:dyDescent="0.3">
      <c r="A1363" t="s">
        <v>10139</v>
      </c>
      <c r="B1363" t="s">
        <v>116</v>
      </c>
      <c r="C1363">
        <v>9406980470</v>
      </c>
      <c r="D1363" s="2">
        <v>1</v>
      </c>
      <c r="E1363" t="str">
        <f>"4574674200717718"</f>
        <v>4574674200717718</v>
      </c>
      <c r="F1363" t="str">
        <f>"911"</f>
        <v>911</v>
      </c>
      <c r="G1363">
        <v>1</v>
      </c>
      <c r="H1363">
        <v>2023</v>
      </c>
      <c r="I1363" t="s">
        <v>1478</v>
      </c>
    </row>
    <row r="1364" spans="1:9" x14ac:dyDescent="0.3">
      <c r="A1364" t="s">
        <v>10139</v>
      </c>
      <c r="B1364" t="s">
        <v>116</v>
      </c>
      <c r="C1364">
        <v>9406980470</v>
      </c>
      <c r="D1364" s="2">
        <v>1</v>
      </c>
      <c r="E1364" t="str">
        <f>"4574674200717726"</f>
        <v>4574674200717726</v>
      </c>
      <c r="F1364" t="str">
        <f>"714"</f>
        <v>714</v>
      </c>
      <c r="G1364">
        <v>1</v>
      </c>
      <c r="H1364">
        <v>2023</v>
      </c>
      <c r="I1364" t="s">
        <v>1479</v>
      </c>
    </row>
    <row r="1365" spans="1:9" x14ac:dyDescent="0.3">
      <c r="A1365" t="s">
        <v>10139</v>
      </c>
      <c r="B1365" t="s">
        <v>116</v>
      </c>
      <c r="C1365">
        <v>9406980470</v>
      </c>
      <c r="D1365" s="2">
        <v>1</v>
      </c>
      <c r="E1365" t="str">
        <f>"4574674200717783"</f>
        <v>4574674200717783</v>
      </c>
      <c r="F1365" t="str">
        <f>"982"</f>
        <v>982</v>
      </c>
      <c r="G1365">
        <v>1</v>
      </c>
      <c r="H1365">
        <v>2023</v>
      </c>
      <c r="I1365" t="s">
        <v>1480</v>
      </c>
    </row>
    <row r="1366" spans="1:9" x14ac:dyDescent="0.3">
      <c r="A1366" t="s">
        <v>10139</v>
      </c>
      <c r="B1366" t="s">
        <v>116</v>
      </c>
      <c r="C1366">
        <v>9406980470</v>
      </c>
      <c r="D1366" s="2">
        <v>1</v>
      </c>
      <c r="E1366" t="str">
        <f>"4574674200717767"</f>
        <v>4574674200717767</v>
      </c>
      <c r="F1366" t="str">
        <f>"922"</f>
        <v>922</v>
      </c>
      <c r="G1366">
        <v>1</v>
      </c>
      <c r="H1366">
        <v>2023</v>
      </c>
      <c r="I1366" t="s">
        <v>1481</v>
      </c>
    </row>
    <row r="1367" spans="1:9" x14ac:dyDescent="0.3">
      <c r="A1367" t="s">
        <v>10139</v>
      </c>
      <c r="B1367" t="s">
        <v>116</v>
      </c>
      <c r="C1367">
        <v>9406980470</v>
      </c>
      <c r="D1367" s="2">
        <v>1</v>
      </c>
      <c r="E1367" t="str">
        <f>"4574674200717759"</f>
        <v>4574674200717759</v>
      </c>
      <c r="F1367" t="str">
        <f>"888"</f>
        <v>888</v>
      </c>
      <c r="G1367">
        <v>1</v>
      </c>
      <c r="H1367">
        <v>2023</v>
      </c>
      <c r="I1367" t="s">
        <v>1482</v>
      </c>
    </row>
    <row r="1368" spans="1:9" x14ac:dyDescent="0.3">
      <c r="A1368" t="s">
        <v>10139</v>
      </c>
      <c r="B1368" t="s">
        <v>116</v>
      </c>
      <c r="C1368">
        <v>9406980470</v>
      </c>
      <c r="D1368" s="2">
        <v>1</v>
      </c>
      <c r="E1368" t="str">
        <f>"4574674200717775"</f>
        <v>4574674200717775</v>
      </c>
      <c r="F1368" t="str">
        <f>"226"</f>
        <v>226</v>
      </c>
      <c r="G1368">
        <v>1</v>
      </c>
      <c r="H1368">
        <v>2023</v>
      </c>
      <c r="I1368" t="s">
        <v>1483</v>
      </c>
    </row>
    <row r="1369" spans="1:9" x14ac:dyDescent="0.3">
      <c r="A1369" t="s">
        <v>10139</v>
      </c>
      <c r="B1369" t="s">
        <v>116</v>
      </c>
      <c r="C1369">
        <v>9406980470</v>
      </c>
      <c r="D1369" s="2">
        <v>1</v>
      </c>
      <c r="E1369" t="str">
        <f>"4574674200717957"</f>
        <v>4574674200717957</v>
      </c>
      <c r="F1369" t="str">
        <f>"032"</f>
        <v>032</v>
      </c>
      <c r="G1369">
        <v>1</v>
      </c>
      <c r="H1369">
        <v>2023</v>
      </c>
      <c r="I1369" t="s">
        <v>1484</v>
      </c>
    </row>
    <row r="1370" spans="1:9" x14ac:dyDescent="0.3">
      <c r="A1370" t="s">
        <v>10139</v>
      </c>
      <c r="B1370" t="s">
        <v>116</v>
      </c>
      <c r="C1370">
        <v>9406980470</v>
      </c>
      <c r="D1370" s="2">
        <v>1</v>
      </c>
      <c r="E1370" t="str">
        <f>"4574674200718047"</f>
        <v>4574674200718047</v>
      </c>
      <c r="F1370" t="str">
        <f>"987"</f>
        <v>987</v>
      </c>
      <c r="G1370">
        <v>1</v>
      </c>
      <c r="H1370">
        <v>2023</v>
      </c>
      <c r="I1370" t="s">
        <v>1485</v>
      </c>
    </row>
    <row r="1371" spans="1:9" x14ac:dyDescent="0.3">
      <c r="A1371" t="s">
        <v>10117</v>
      </c>
      <c r="B1371" t="s">
        <v>9</v>
      </c>
      <c r="C1371">
        <v>7648876604</v>
      </c>
      <c r="D1371" s="2">
        <v>1</v>
      </c>
      <c r="E1371" t="str">
        <f>"4574674200718021"</f>
        <v>4574674200718021</v>
      </c>
      <c r="F1371" t="str">
        <f>"018"</f>
        <v>018</v>
      </c>
      <c r="G1371">
        <v>1</v>
      </c>
      <c r="H1371">
        <v>2023</v>
      </c>
      <c r="I1371" t="s">
        <v>1486</v>
      </c>
    </row>
    <row r="1372" spans="1:9" x14ac:dyDescent="0.3">
      <c r="A1372" t="s">
        <v>10117</v>
      </c>
      <c r="B1372" t="s">
        <v>9</v>
      </c>
      <c r="C1372">
        <v>7648876604</v>
      </c>
      <c r="D1372" s="2">
        <v>1</v>
      </c>
      <c r="E1372" t="str">
        <f>"4574674200718070"</f>
        <v>4574674200718070</v>
      </c>
      <c r="F1372" t="str">
        <f>"874"</f>
        <v>874</v>
      </c>
      <c r="G1372">
        <v>1</v>
      </c>
      <c r="H1372">
        <v>2023</v>
      </c>
      <c r="I1372" t="s">
        <v>1487</v>
      </c>
    </row>
    <row r="1373" spans="1:9" x14ac:dyDescent="0.3">
      <c r="A1373" t="s">
        <v>10117</v>
      </c>
      <c r="B1373" t="s">
        <v>9</v>
      </c>
      <c r="C1373">
        <v>7648876604</v>
      </c>
      <c r="D1373" s="2">
        <v>1</v>
      </c>
      <c r="E1373" t="str">
        <f>"4574674200718054"</f>
        <v>4574674200718054</v>
      </c>
      <c r="F1373" t="str">
        <f>"952"</f>
        <v>952</v>
      </c>
      <c r="G1373">
        <v>1</v>
      </c>
      <c r="H1373">
        <v>2023</v>
      </c>
      <c r="I1373" t="s">
        <v>1488</v>
      </c>
    </row>
    <row r="1374" spans="1:9" x14ac:dyDescent="0.3">
      <c r="A1374" t="s">
        <v>10117</v>
      </c>
      <c r="B1374" t="s">
        <v>9</v>
      </c>
      <c r="C1374">
        <v>7648876604</v>
      </c>
      <c r="D1374" s="2">
        <v>1</v>
      </c>
      <c r="E1374" t="str">
        <f>"4574674200718062"</f>
        <v>4574674200718062</v>
      </c>
      <c r="F1374" t="str">
        <f>"254"</f>
        <v>254</v>
      </c>
      <c r="G1374">
        <v>1</v>
      </c>
      <c r="H1374">
        <v>2023</v>
      </c>
      <c r="I1374" t="s">
        <v>1489</v>
      </c>
    </row>
    <row r="1375" spans="1:9" x14ac:dyDescent="0.3">
      <c r="A1375" t="s">
        <v>10117</v>
      </c>
      <c r="B1375" t="s">
        <v>9</v>
      </c>
      <c r="C1375">
        <v>7648876604</v>
      </c>
      <c r="D1375" s="2">
        <v>1</v>
      </c>
      <c r="E1375" t="str">
        <f>"4574674200718104"</f>
        <v>4574674200718104</v>
      </c>
      <c r="F1375" t="str">
        <f>"622"</f>
        <v>622</v>
      </c>
      <c r="G1375">
        <v>1</v>
      </c>
      <c r="H1375">
        <v>2023</v>
      </c>
      <c r="I1375" t="s">
        <v>1490</v>
      </c>
    </row>
    <row r="1376" spans="1:9" x14ac:dyDescent="0.3">
      <c r="A1376" t="s">
        <v>10117</v>
      </c>
      <c r="B1376" t="s">
        <v>9</v>
      </c>
      <c r="C1376">
        <v>7648876604</v>
      </c>
      <c r="D1376" s="2">
        <v>1</v>
      </c>
      <c r="E1376" t="str">
        <f>"4574674200718237"</f>
        <v>4574674200718237</v>
      </c>
      <c r="F1376" t="str">
        <f>"900"</f>
        <v>900</v>
      </c>
      <c r="G1376">
        <v>1</v>
      </c>
      <c r="H1376">
        <v>2023</v>
      </c>
      <c r="I1376" t="s">
        <v>1491</v>
      </c>
    </row>
    <row r="1377" spans="1:9" x14ac:dyDescent="0.3">
      <c r="A1377" t="s">
        <v>10117</v>
      </c>
      <c r="B1377" t="s">
        <v>9</v>
      </c>
      <c r="C1377">
        <v>7648876604</v>
      </c>
      <c r="D1377" s="2">
        <v>1</v>
      </c>
      <c r="E1377" t="str">
        <f>"4574674200718153"</f>
        <v>4574674200718153</v>
      </c>
      <c r="F1377" t="str">
        <f>"427"</f>
        <v>427</v>
      </c>
      <c r="G1377">
        <v>1</v>
      </c>
      <c r="H1377">
        <v>2023</v>
      </c>
      <c r="I1377" t="s">
        <v>1492</v>
      </c>
    </row>
    <row r="1378" spans="1:9" x14ac:dyDescent="0.3">
      <c r="A1378" t="s">
        <v>10117</v>
      </c>
      <c r="B1378" t="s">
        <v>9</v>
      </c>
      <c r="C1378">
        <v>7648876604</v>
      </c>
      <c r="D1378" s="2">
        <v>1</v>
      </c>
      <c r="E1378" t="str">
        <f>"4574674200718187"</f>
        <v>4574674200718187</v>
      </c>
      <c r="F1378" t="str">
        <f>"221"</f>
        <v>221</v>
      </c>
      <c r="G1378">
        <v>1</v>
      </c>
      <c r="H1378">
        <v>2023</v>
      </c>
      <c r="I1378" t="s">
        <v>1493</v>
      </c>
    </row>
    <row r="1379" spans="1:9" x14ac:dyDescent="0.3">
      <c r="A1379" t="s">
        <v>10117</v>
      </c>
      <c r="B1379" t="s">
        <v>9</v>
      </c>
      <c r="C1379">
        <v>7648876604</v>
      </c>
      <c r="D1379" s="2">
        <v>1</v>
      </c>
      <c r="E1379" t="str">
        <f>"4574674200718195"</f>
        <v>4574674200718195</v>
      </c>
      <c r="F1379" t="str">
        <f>"223"</f>
        <v>223</v>
      </c>
      <c r="G1379">
        <v>1</v>
      </c>
      <c r="H1379">
        <v>2023</v>
      </c>
      <c r="I1379" t="s">
        <v>1494</v>
      </c>
    </row>
    <row r="1380" spans="1:9" x14ac:dyDescent="0.3">
      <c r="A1380" t="s">
        <v>10117</v>
      </c>
      <c r="B1380" t="s">
        <v>9</v>
      </c>
      <c r="C1380">
        <v>7648876604</v>
      </c>
      <c r="D1380" s="2">
        <v>1</v>
      </c>
      <c r="E1380" t="str">
        <f>"4574674200718401"</f>
        <v>4574674200718401</v>
      </c>
      <c r="F1380" t="str">
        <f>"891"</f>
        <v>891</v>
      </c>
      <c r="G1380">
        <v>1</v>
      </c>
      <c r="H1380">
        <v>2023</v>
      </c>
      <c r="I1380" t="s">
        <v>1495</v>
      </c>
    </row>
    <row r="1381" spans="1:9" x14ac:dyDescent="0.3">
      <c r="A1381" t="s">
        <v>10118</v>
      </c>
      <c r="B1381" t="s">
        <v>10</v>
      </c>
      <c r="C1381">
        <v>7648876604</v>
      </c>
      <c r="D1381" s="2">
        <v>1</v>
      </c>
      <c r="E1381" t="str">
        <f>"4574674200718435"</f>
        <v>4574674200718435</v>
      </c>
      <c r="F1381" t="str">
        <f>"727"</f>
        <v>727</v>
      </c>
      <c r="G1381">
        <v>1</v>
      </c>
      <c r="H1381">
        <v>2023</v>
      </c>
      <c r="I1381" t="s">
        <v>1496</v>
      </c>
    </row>
    <row r="1382" spans="1:9" x14ac:dyDescent="0.3">
      <c r="A1382" t="s">
        <v>10118</v>
      </c>
      <c r="B1382" t="s">
        <v>10</v>
      </c>
      <c r="C1382">
        <v>7648876604</v>
      </c>
      <c r="D1382" s="2">
        <v>1</v>
      </c>
      <c r="E1382" t="str">
        <f>"4574674200718443"</f>
        <v>4574674200718443</v>
      </c>
      <c r="F1382" t="str">
        <f>"905"</f>
        <v>905</v>
      </c>
      <c r="G1382">
        <v>1</v>
      </c>
      <c r="H1382">
        <v>2023</v>
      </c>
      <c r="I1382" t="s">
        <v>1497</v>
      </c>
    </row>
    <row r="1383" spans="1:9" x14ac:dyDescent="0.3">
      <c r="A1383" t="s">
        <v>10118</v>
      </c>
      <c r="B1383" t="s">
        <v>10</v>
      </c>
      <c r="C1383">
        <v>7648876604</v>
      </c>
      <c r="D1383" s="2">
        <v>1</v>
      </c>
      <c r="E1383" t="str">
        <f>"4574674200718633"</f>
        <v>4574674200718633</v>
      </c>
      <c r="F1383" t="str">
        <f>"544"</f>
        <v>544</v>
      </c>
      <c r="G1383">
        <v>1</v>
      </c>
      <c r="H1383">
        <v>2023</v>
      </c>
      <c r="I1383" t="s">
        <v>1498</v>
      </c>
    </row>
    <row r="1384" spans="1:9" x14ac:dyDescent="0.3">
      <c r="A1384" t="s">
        <v>10118</v>
      </c>
      <c r="B1384" t="s">
        <v>10</v>
      </c>
      <c r="C1384">
        <v>7648876604</v>
      </c>
      <c r="D1384" s="2">
        <v>1</v>
      </c>
      <c r="E1384" t="str">
        <f>"4574674200718492"</f>
        <v>4574674200718492</v>
      </c>
      <c r="F1384" t="str">
        <f>"788"</f>
        <v>788</v>
      </c>
      <c r="G1384">
        <v>1</v>
      </c>
      <c r="H1384">
        <v>2023</v>
      </c>
      <c r="I1384" t="s">
        <v>1499</v>
      </c>
    </row>
    <row r="1385" spans="1:9" x14ac:dyDescent="0.3">
      <c r="A1385" t="s">
        <v>10118</v>
      </c>
      <c r="B1385" t="s">
        <v>10</v>
      </c>
      <c r="C1385">
        <v>7648876604</v>
      </c>
      <c r="D1385" s="2">
        <v>1</v>
      </c>
      <c r="E1385" t="str">
        <f>"4574674200718500"</f>
        <v>4574674200718500</v>
      </c>
      <c r="F1385" t="str">
        <f>"314"</f>
        <v>314</v>
      </c>
      <c r="G1385">
        <v>1</v>
      </c>
      <c r="H1385">
        <v>2023</v>
      </c>
      <c r="I1385" t="s">
        <v>1500</v>
      </c>
    </row>
    <row r="1386" spans="1:9" x14ac:dyDescent="0.3">
      <c r="A1386" t="s">
        <v>10118</v>
      </c>
      <c r="B1386" t="s">
        <v>10</v>
      </c>
      <c r="C1386">
        <v>7648876604</v>
      </c>
      <c r="D1386" s="2">
        <v>1</v>
      </c>
      <c r="E1386" t="str">
        <f>"4574674200718534"</f>
        <v>4574674200718534</v>
      </c>
      <c r="F1386" t="str">
        <f>"027"</f>
        <v>027</v>
      </c>
      <c r="G1386">
        <v>1</v>
      </c>
      <c r="H1386">
        <v>2023</v>
      </c>
      <c r="I1386" t="s">
        <v>1501</v>
      </c>
    </row>
    <row r="1387" spans="1:9" x14ac:dyDescent="0.3">
      <c r="A1387" t="s">
        <v>10118</v>
      </c>
      <c r="B1387" t="s">
        <v>10</v>
      </c>
      <c r="C1387">
        <v>7648876604</v>
      </c>
      <c r="D1387" s="2">
        <v>1</v>
      </c>
      <c r="E1387" t="str">
        <f>"4574674200718476"</f>
        <v>4574674200718476</v>
      </c>
      <c r="F1387" t="str">
        <f>"578"</f>
        <v>578</v>
      </c>
      <c r="G1387">
        <v>1</v>
      </c>
      <c r="H1387">
        <v>2023</v>
      </c>
      <c r="I1387" t="s">
        <v>1502</v>
      </c>
    </row>
    <row r="1388" spans="1:9" x14ac:dyDescent="0.3">
      <c r="A1388" t="s">
        <v>10118</v>
      </c>
      <c r="B1388" t="s">
        <v>10</v>
      </c>
      <c r="C1388">
        <v>7648876604</v>
      </c>
      <c r="D1388" s="2">
        <v>1</v>
      </c>
      <c r="E1388" t="str">
        <f>"4574674200718542"</f>
        <v>4574674200718542</v>
      </c>
      <c r="F1388" t="str">
        <f>"566"</f>
        <v>566</v>
      </c>
      <c r="G1388">
        <v>1</v>
      </c>
      <c r="H1388">
        <v>2023</v>
      </c>
      <c r="I1388" t="s">
        <v>1503</v>
      </c>
    </row>
    <row r="1389" spans="1:9" x14ac:dyDescent="0.3">
      <c r="A1389" t="s">
        <v>10118</v>
      </c>
      <c r="B1389" t="s">
        <v>10</v>
      </c>
      <c r="C1389">
        <v>7648876604</v>
      </c>
      <c r="D1389" s="2">
        <v>1</v>
      </c>
      <c r="E1389" t="str">
        <f>"4574674200718575"</f>
        <v>4574674200718575</v>
      </c>
      <c r="F1389" t="str">
        <f>"224"</f>
        <v>224</v>
      </c>
      <c r="G1389">
        <v>1</v>
      </c>
      <c r="H1389">
        <v>2023</v>
      </c>
      <c r="I1389" t="s">
        <v>1504</v>
      </c>
    </row>
    <row r="1390" spans="1:9" x14ac:dyDescent="0.3">
      <c r="A1390" t="s">
        <v>10118</v>
      </c>
      <c r="B1390" t="s">
        <v>10</v>
      </c>
      <c r="C1390">
        <v>7648876604</v>
      </c>
      <c r="D1390" s="2">
        <v>1</v>
      </c>
      <c r="E1390" t="str">
        <f>"4574674200718823"</f>
        <v>4574674200718823</v>
      </c>
      <c r="F1390" t="str">
        <f>"106"</f>
        <v>106</v>
      </c>
      <c r="G1390">
        <v>1</v>
      </c>
      <c r="H1390">
        <v>2023</v>
      </c>
      <c r="I1390" t="s">
        <v>1505</v>
      </c>
    </row>
    <row r="1391" spans="1:9" x14ac:dyDescent="0.3">
      <c r="A1391" t="s">
        <v>10119</v>
      </c>
      <c r="B1391" t="s">
        <v>11</v>
      </c>
      <c r="C1391">
        <v>7648876604</v>
      </c>
      <c r="D1391" s="2">
        <v>1</v>
      </c>
      <c r="E1391" t="str">
        <f>"4574674200718583"</f>
        <v>4574674200718583</v>
      </c>
      <c r="F1391" t="str">
        <f>"180"</f>
        <v>180</v>
      </c>
      <c r="G1391">
        <v>1</v>
      </c>
      <c r="H1391">
        <v>2023</v>
      </c>
      <c r="I1391" t="s">
        <v>1506</v>
      </c>
    </row>
    <row r="1392" spans="1:9" x14ac:dyDescent="0.3">
      <c r="A1392" t="s">
        <v>10119</v>
      </c>
      <c r="B1392" t="s">
        <v>11</v>
      </c>
      <c r="C1392">
        <v>7648876604</v>
      </c>
      <c r="D1392" s="2">
        <v>1</v>
      </c>
      <c r="E1392" t="str">
        <f>"4574674200718591"</f>
        <v>4574674200718591</v>
      </c>
      <c r="F1392" t="str">
        <f>"425"</f>
        <v>425</v>
      </c>
      <c r="G1392">
        <v>1</v>
      </c>
      <c r="H1392">
        <v>2023</v>
      </c>
      <c r="I1392" t="s">
        <v>1507</v>
      </c>
    </row>
    <row r="1393" spans="1:9" x14ac:dyDescent="0.3">
      <c r="A1393" t="s">
        <v>10119</v>
      </c>
      <c r="B1393" t="s">
        <v>11</v>
      </c>
      <c r="C1393">
        <v>7648876604</v>
      </c>
      <c r="D1393" s="2">
        <v>1</v>
      </c>
      <c r="E1393" t="str">
        <f>"4574674200719029"</f>
        <v>4574674200719029</v>
      </c>
      <c r="F1393" t="str">
        <f>"906"</f>
        <v>906</v>
      </c>
      <c r="G1393">
        <v>1</v>
      </c>
      <c r="H1393">
        <v>2023</v>
      </c>
      <c r="I1393" t="s">
        <v>1508</v>
      </c>
    </row>
    <row r="1394" spans="1:9" x14ac:dyDescent="0.3">
      <c r="A1394" t="s">
        <v>10119</v>
      </c>
      <c r="B1394" t="s">
        <v>11</v>
      </c>
      <c r="C1394">
        <v>7648876604</v>
      </c>
      <c r="D1394" s="2">
        <v>1</v>
      </c>
      <c r="E1394" t="str">
        <f>"4574674200719037"</f>
        <v>4574674200719037</v>
      </c>
      <c r="F1394" t="str">
        <f>"386"</f>
        <v>386</v>
      </c>
      <c r="G1394">
        <v>1</v>
      </c>
      <c r="H1394">
        <v>2023</v>
      </c>
      <c r="I1394" t="s">
        <v>1509</v>
      </c>
    </row>
    <row r="1395" spans="1:9" x14ac:dyDescent="0.3">
      <c r="A1395" t="s">
        <v>10119</v>
      </c>
      <c r="B1395" t="s">
        <v>11</v>
      </c>
      <c r="C1395">
        <v>7648876604</v>
      </c>
      <c r="D1395" s="2">
        <v>1</v>
      </c>
      <c r="E1395" t="str">
        <f>"4574674200718948"</f>
        <v>4574674200718948</v>
      </c>
      <c r="F1395" t="str">
        <f>"190"</f>
        <v>190</v>
      </c>
      <c r="G1395">
        <v>1</v>
      </c>
      <c r="H1395">
        <v>2023</v>
      </c>
      <c r="I1395" t="s">
        <v>1510</v>
      </c>
    </row>
    <row r="1396" spans="1:9" x14ac:dyDescent="0.3">
      <c r="A1396" t="s">
        <v>10119</v>
      </c>
      <c r="B1396" t="s">
        <v>11</v>
      </c>
      <c r="C1396">
        <v>7648876604</v>
      </c>
      <c r="D1396" s="2">
        <v>1</v>
      </c>
      <c r="E1396" t="str">
        <f>"4574674200719078"</f>
        <v>4574674200719078</v>
      </c>
      <c r="F1396" t="str">
        <f>"017"</f>
        <v>017</v>
      </c>
      <c r="G1396">
        <v>1</v>
      </c>
      <c r="H1396">
        <v>2023</v>
      </c>
      <c r="I1396" t="s">
        <v>1511</v>
      </c>
    </row>
    <row r="1397" spans="1:9" x14ac:dyDescent="0.3">
      <c r="A1397" t="s">
        <v>10119</v>
      </c>
      <c r="B1397" t="s">
        <v>11</v>
      </c>
      <c r="C1397">
        <v>7648876604</v>
      </c>
      <c r="D1397" s="2">
        <v>1</v>
      </c>
      <c r="E1397" t="str">
        <f>"4574674200719094"</f>
        <v>4574674200719094</v>
      </c>
      <c r="F1397" t="str">
        <f>"342"</f>
        <v>342</v>
      </c>
      <c r="G1397">
        <v>1</v>
      </c>
      <c r="H1397">
        <v>2023</v>
      </c>
      <c r="I1397" t="s">
        <v>1512</v>
      </c>
    </row>
    <row r="1398" spans="1:9" x14ac:dyDescent="0.3">
      <c r="A1398" t="s">
        <v>10119</v>
      </c>
      <c r="B1398" t="s">
        <v>11</v>
      </c>
      <c r="C1398">
        <v>7648876604</v>
      </c>
      <c r="D1398" s="2">
        <v>1</v>
      </c>
      <c r="E1398" t="str">
        <f>"4574674200719102"</f>
        <v>4574674200719102</v>
      </c>
      <c r="F1398" t="str">
        <f>"336"</f>
        <v>336</v>
      </c>
      <c r="G1398">
        <v>1</v>
      </c>
      <c r="H1398">
        <v>2023</v>
      </c>
      <c r="I1398" t="s">
        <v>1513</v>
      </c>
    </row>
    <row r="1399" spans="1:9" x14ac:dyDescent="0.3">
      <c r="A1399" t="s">
        <v>10119</v>
      </c>
      <c r="B1399" t="s">
        <v>11</v>
      </c>
      <c r="C1399">
        <v>7648876604</v>
      </c>
      <c r="D1399" s="2">
        <v>1</v>
      </c>
      <c r="E1399" t="str">
        <f>"4574674200719110"</f>
        <v>4574674200719110</v>
      </c>
      <c r="F1399" t="str">
        <f>"058"</f>
        <v>058</v>
      </c>
      <c r="G1399">
        <v>1</v>
      </c>
      <c r="H1399">
        <v>2023</v>
      </c>
      <c r="I1399" t="s">
        <v>1514</v>
      </c>
    </row>
    <row r="1400" spans="1:9" x14ac:dyDescent="0.3">
      <c r="A1400" t="s">
        <v>10119</v>
      </c>
      <c r="B1400" t="s">
        <v>11</v>
      </c>
      <c r="C1400">
        <v>7648876604</v>
      </c>
      <c r="D1400" s="2">
        <v>1</v>
      </c>
      <c r="E1400" t="str">
        <f>"4574674200719144"</f>
        <v>4574674200719144</v>
      </c>
      <c r="F1400" t="str">
        <f>"787"</f>
        <v>787</v>
      </c>
      <c r="G1400">
        <v>1</v>
      </c>
      <c r="H1400">
        <v>2023</v>
      </c>
      <c r="I1400" t="s">
        <v>1515</v>
      </c>
    </row>
    <row r="1401" spans="1:9" x14ac:dyDescent="0.3">
      <c r="A1401" t="s">
        <v>10120</v>
      </c>
      <c r="B1401" t="s">
        <v>12</v>
      </c>
      <c r="C1401">
        <v>7648876604</v>
      </c>
      <c r="D1401" s="2">
        <v>1</v>
      </c>
      <c r="E1401" t="str">
        <f>"4574674200719151"</f>
        <v>4574674200719151</v>
      </c>
      <c r="F1401" t="str">
        <f>"931"</f>
        <v>931</v>
      </c>
      <c r="G1401">
        <v>1</v>
      </c>
      <c r="H1401">
        <v>2023</v>
      </c>
      <c r="I1401" t="s">
        <v>1516</v>
      </c>
    </row>
    <row r="1402" spans="1:9" x14ac:dyDescent="0.3">
      <c r="A1402" t="s">
        <v>10120</v>
      </c>
      <c r="B1402" t="s">
        <v>12</v>
      </c>
      <c r="C1402">
        <v>7648876604</v>
      </c>
      <c r="D1402" s="2">
        <v>1</v>
      </c>
      <c r="E1402" t="str">
        <f>"4574674200719417"</f>
        <v>4574674200719417</v>
      </c>
      <c r="F1402" t="str">
        <f>"623"</f>
        <v>623</v>
      </c>
      <c r="G1402">
        <v>1</v>
      </c>
      <c r="H1402">
        <v>2023</v>
      </c>
      <c r="I1402" t="s">
        <v>1517</v>
      </c>
    </row>
    <row r="1403" spans="1:9" x14ac:dyDescent="0.3">
      <c r="A1403" t="s">
        <v>10120</v>
      </c>
      <c r="B1403" t="s">
        <v>12</v>
      </c>
      <c r="C1403">
        <v>7648876604</v>
      </c>
      <c r="D1403" s="2">
        <v>1</v>
      </c>
      <c r="E1403" t="str">
        <f>"4574674200719425"</f>
        <v>4574674200719425</v>
      </c>
      <c r="F1403" t="str">
        <f>"405"</f>
        <v>405</v>
      </c>
      <c r="G1403">
        <v>1</v>
      </c>
      <c r="H1403">
        <v>2023</v>
      </c>
      <c r="I1403" t="s">
        <v>1518</v>
      </c>
    </row>
    <row r="1404" spans="1:9" x14ac:dyDescent="0.3">
      <c r="A1404" t="s">
        <v>10120</v>
      </c>
      <c r="B1404" t="s">
        <v>12</v>
      </c>
      <c r="C1404">
        <v>7648876604</v>
      </c>
      <c r="D1404" s="2">
        <v>1</v>
      </c>
      <c r="E1404" t="str">
        <f>"4574674200719193"</f>
        <v>4574674200719193</v>
      </c>
      <c r="F1404" t="str">
        <f>"460"</f>
        <v>460</v>
      </c>
      <c r="G1404">
        <v>1</v>
      </c>
      <c r="H1404">
        <v>2023</v>
      </c>
      <c r="I1404" t="s">
        <v>1519</v>
      </c>
    </row>
    <row r="1405" spans="1:9" x14ac:dyDescent="0.3">
      <c r="A1405" t="s">
        <v>10120</v>
      </c>
      <c r="B1405" t="s">
        <v>12</v>
      </c>
      <c r="C1405">
        <v>7648876604</v>
      </c>
      <c r="D1405" s="2">
        <v>1</v>
      </c>
      <c r="E1405" t="str">
        <f>"4574674200719300"</f>
        <v>4574674200719300</v>
      </c>
      <c r="F1405" t="str">
        <f>"426"</f>
        <v>426</v>
      </c>
      <c r="G1405">
        <v>1</v>
      </c>
      <c r="H1405">
        <v>2023</v>
      </c>
      <c r="I1405" t="s">
        <v>1520</v>
      </c>
    </row>
    <row r="1406" spans="1:9" x14ac:dyDescent="0.3">
      <c r="A1406" t="s">
        <v>10120</v>
      </c>
      <c r="B1406" t="s">
        <v>12</v>
      </c>
      <c r="C1406">
        <v>7648876604</v>
      </c>
      <c r="D1406" s="2">
        <v>1</v>
      </c>
      <c r="E1406" t="str">
        <f>"4574674200719433"</f>
        <v>4574674200719433</v>
      </c>
      <c r="F1406" t="str">
        <f>"437"</f>
        <v>437</v>
      </c>
      <c r="G1406">
        <v>1</v>
      </c>
      <c r="H1406">
        <v>2023</v>
      </c>
      <c r="I1406" t="s">
        <v>1521</v>
      </c>
    </row>
    <row r="1407" spans="1:9" x14ac:dyDescent="0.3">
      <c r="A1407" t="s">
        <v>10120</v>
      </c>
      <c r="B1407" t="s">
        <v>12</v>
      </c>
      <c r="C1407">
        <v>7648876604</v>
      </c>
      <c r="D1407" s="2">
        <v>1</v>
      </c>
      <c r="E1407" t="str">
        <f>"4574674200719490"</f>
        <v>4574674200719490</v>
      </c>
      <c r="F1407" t="str">
        <f>"169"</f>
        <v>169</v>
      </c>
      <c r="G1407">
        <v>1</v>
      </c>
      <c r="H1407">
        <v>2023</v>
      </c>
      <c r="I1407" t="s">
        <v>1522</v>
      </c>
    </row>
    <row r="1408" spans="1:9" x14ac:dyDescent="0.3">
      <c r="A1408" t="s">
        <v>10120</v>
      </c>
      <c r="B1408" t="s">
        <v>12</v>
      </c>
      <c r="C1408">
        <v>7648876604</v>
      </c>
      <c r="D1408" s="2">
        <v>1</v>
      </c>
      <c r="E1408" t="str">
        <f>"4574674200719482"</f>
        <v>4574674200719482</v>
      </c>
      <c r="F1408" t="str">
        <f>"528"</f>
        <v>528</v>
      </c>
      <c r="G1408">
        <v>1</v>
      </c>
      <c r="H1408">
        <v>2023</v>
      </c>
      <c r="I1408" t="s">
        <v>1523</v>
      </c>
    </row>
    <row r="1409" spans="1:9" x14ac:dyDescent="0.3">
      <c r="A1409" t="s">
        <v>10120</v>
      </c>
      <c r="B1409" t="s">
        <v>12</v>
      </c>
      <c r="C1409">
        <v>7648876604</v>
      </c>
      <c r="D1409" s="2">
        <v>1</v>
      </c>
      <c r="E1409" t="str">
        <f>"4574674200719466"</f>
        <v>4574674200719466</v>
      </c>
      <c r="F1409" t="str">
        <f>"545"</f>
        <v>545</v>
      </c>
      <c r="G1409">
        <v>1</v>
      </c>
      <c r="H1409">
        <v>2023</v>
      </c>
      <c r="I1409" t="s">
        <v>1524</v>
      </c>
    </row>
    <row r="1410" spans="1:9" x14ac:dyDescent="0.3">
      <c r="A1410" t="s">
        <v>10120</v>
      </c>
      <c r="B1410" t="s">
        <v>12</v>
      </c>
      <c r="C1410">
        <v>7648876604</v>
      </c>
      <c r="D1410" s="2">
        <v>1</v>
      </c>
      <c r="E1410" t="str">
        <f>"4574674200719532"</f>
        <v>4574674200719532</v>
      </c>
      <c r="F1410" t="str">
        <f>"350"</f>
        <v>350</v>
      </c>
      <c r="G1410">
        <v>1</v>
      </c>
      <c r="H1410">
        <v>2023</v>
      </c>
      <c r="I1410" t="s">
        <v>1525</v>
      </c>
    </row>
    <row r="1411" spans="1:9" x14ac:dyDescent="0.3">
      <c r="A1411" t="s">
        <v>10121</v>
      </c>
      <c r="B1411" t="s">
        <v>13</v>
      </c>
      <c r="C1411">
        <v>7648876604</v>
      </c>
      <c r="D1411" s="2">
        <v>1</v>
      </c>
      <c r="E1411" t="str">
        <f>"4574674200719672"</f>
        <v>4574674200719672</v>
      </c>
      <c r="F1411" t="str">
        <f>"212"</f>
        <v>212</v>
      </c>
      <c r="G1411">
        <v>1</v>
      </c>
      <c r="H1411">
        <v>2023</v>
      </c>
      <c r="I1411" t="s">
        <v>1526</v>
      </c>
    </row>
    <row r="1412" spans="1:9" x14ac:dyDescent="0.3">
      <c r="A1412" t="s">
        <v>10121</v>
      </c>
      <c r="B1412" t="s">
        <v>13</v>
      </c>
      <c r="C1412">
        <v>7648876604</v>
      </c>
      <c r="D1412" s="2">
        <v>1</v>
      </c>
      <c r="E1412" t="str">
        <f>"4574674200719557"</f>
        <v>4574674200719557</v>
      </c>
      <c r="F1412" t="str">
        <f>"288"</f>
        <v>288</v>
      </c>
      <c r="G1412">
        <v>1</v>
      </c>
      <c r="H1412">
        <v>2023</v>
      </c>
      <c r="I1412" t="s">
        <v>1527</v>
      </c>
    </row>
    <row r="1413" spans="1:9" x14ac:dyDescent="0.3">
      <c r="A1413" t="s">
        <v>10121</v>
      </c>
      <c r="B1413" t="s">
        <v>13</v>
      </c>
      <c r="C1413">
        <v>7648876604</v>
      </c>
      <c r="D1413" s="2">
        <v>1</v>
      </c>
      <c r="E1413" t="str">
        <f>"4574674200719565"</f>
        <v>4574674200719565</v>
      </c>
      <c r="F1413" t="str">
        <f>"573"</f>
        <v>573</v>
      </c>
      <c r="G1413">
        <v>1</v>
      </c>
      <c r="H1413">
        <v>2023</v>
      </c>
      <c r="I1413" t="s">
        <v>1528</v>
      </c>
    </row>
    <row r="1414" spans="1:9" x14ac:dyDescent="0.3">
      <c r="A1414" t="s">
        <v>10121</v>
      </c>
      <c r="B1414" t="s">
        <v>13</v>
      </c>
      <c r="C1414">
        <v>7648876604</v>
      </c>
      <c r="D1414" s="2">
        <v>1</v>
      </c>
      <c r="E1414" t="str">
        <f>"4574674200719573"</f>
        <v>4574674200719573</v>
      </c>
      <c r="F1414" t="str">
        <f>"829"</f>
        <v>829</v>
      </c>
      <c r="G1414">
        <v>1</v>
      </c>
      <c r="H1414">
        <v>2023</v>
      </c>
      <c r="I1414" t="s">
        <v>1529</v>
      </c>
    </row>
    <row r="1415" spans="1:9" x14ac:dyDescent="0.3">
      <c r="A1415" t="s">
        <v>10121</v>
      </c>
      <c r="B1415" t="s">
        <v>13</v>
      </c>
      <c r="C1415">
        <v>7648876604</v>
      </c>
      <c r="D1415" s="2">
        <v>1</v>
      </c>
      <c r="E1415" t="str">
        <f>"4574674200720027"</f>
        <v>4574674200720027</v>
      </c>
      <c r="F1415" t="str">
        <f>"176"</f>
        <v>176</v>
      </c>
      <c r="G1415">
        <v>1</v>
      </c>
      <c r="H1415">
        <v>2023</v>
      </c>
      <c r="I1415" t="s">
        <v>1530</v>
      </c>
    </row>
    <row r="1416" spans="1:9" x14ac:dyDescent="0.3">
      <c r="A1416" t="s">
        <v>10121</v>
      </c>
      <c r="B1416" t="s">
        <v>13</v>
      </c>
      <c r="C1416">
        <v>7648876604</v>
      </c>
      <c r="D1416" s="2">
        <v>1</v>
      </c>
      <c r="E1416" t="str">
        <f>"4574674200720068"</f>
        <v>4574674200720068</v>
      </c>
      <c r="F1416" t="str">
        <f>"279"</f>
        <v>279</v>
      </c>
      <c r="G1416">
        <v>1</v>
      </c>
      <c r="H1416">
        <v>2023</v>
      </c>
      <c r="I1416" t="s">
        <v>1531</v>
      </c>
    </row>
    <row r="1417" spans="1:9" x14ac:dyDescent="0.3">
      <c r="A1417" t="s">
        <v>10121</v>
      </c>
      <c r="B1417" t="s">
        <v>13</v>
      </c>
      <c r="C1417">
        <v>7648876604</v>
      </c>
      <c r="D1417" s="2">
        <v>1</v>
      </c>
      <c r="E1417" t="str">
        <f>"4574674200720084"</f>
        <v>4574674200720084</v>
      </c>
      <c r="F1417" t="str">
        <f>"181"</f>
        <v>181</v>
      </c>
      <c r="G1417">
        <v>1</v>
      </c>
      <c r="H1417">
        <v>2023</v>
      </c>
      <c r="I1417" t="s">
        <v>1532</v>
      </c>
    </row>
    <row r="1418" spans="1:9" x14ac:dyDescent="0.3">
      <c r="A1418" t="s">
        <v>10121</v>
      </c>
      <c r="B1418" t="s">
        <v>13</v>
      </c>
      <c r="C1418">
        <v>7648876604</v>
      </c>
      <c r="D1418" s="2">
        <v>1</v>
      </c>
      <c r="E1418" t="str">
        <f>"4574674200720100"</f>
        <v>4574674200720100</v>
      </c>
      <c r="F1418" t="str">
        <f>"940"</f>
        <v>940</v>
      </c>
      <c r="G1418">
        <v>1</v>
      </c>
      <c r="H1418">
        <v>2023</v>
      </c>
      <c r="I1418" t="s">
        <v>1533</v>
      </c>
    </row>
    <row r="1419" spans="1:9" x14ac:dyDescent="0.3">
      <c r="A1419" t="s">
        <v>10121</v>
      </c>
      <c r="B1419" t="s">
        <v>13</v>
      </c>
      <c r="C1419">
        <v>7648876604</v>
      </c>
      <c r="D1419" s="2">
        <v>1</v>
      </c>
      <c r="E1419" t="str">
        <f>"4574674200720134"</f>
        <v>4574674200720134</v>
      </c>
      <c r="F1419" t="str">
        <f>"920"</f>
        <v>920</v>
      </c>
      <c r="G1419">
        <v>1</v>
      </c>
      <c r="H1419">
        <v>2023</v>
      </c>
      <c r="I1419" t="s">
        <v>1534</v>
      </c>
    </row>
    <row r="1420" spans="1:9" x14ac:dyDescent="0.3">
      <c r="A1420" t="s">
        <v>10121</v>
      </c>
      <c r="B1420" t="s">
        <v>13</v>
      </c>
      <c r="C1420">
        <v>7648876604</v>
      </c>
      <c r="D1420" s="2">
        <v>1</v>
      </c>
      <c r="E1420" t="str">
        <f>"4574674200720167"</f>
        <v>4574674200720167</v>
      </c>
      <c r="F1420" t="str">
        <f>"810"</f>
        <v>810</v>
      </c>
      <c r="G1420">
        <v>1</v>
      </c>
      <c r="H1420">
        <v>2023</v>
      </c>
      <c r="I1420" t="s">
        <v>1535</v>
      </c>
    </row>
    <row r="1421" spans="1:9" x14ac:dyDescent="0.3">
      <c r="A1421" t="s">
        <v>10122</v>
      </c>
      <c r="B1421" t="s">
        <v>14</v>
      </c>
      <c r="C1421">
        <v>7648876604</v>
      </c>
      <c r="D1421" s="2">
        <v>1</v>
      </c>
      <c r="E1421" t="str">
        <f>"4574674200720183"</f>
        <v>4574674200720183</v>
      </c>
      <c r="F1421" t="str">
        <f>"082"</f>
        <v>082</v>
      </c>
      <c r="G1421">
        <v>1</v>
      </c>
      <c r="H1421">
        <v>2023</v>
      </c>
      <c r="I1421" t="s">
        <v>1536</v>
      </c>
    </row>
    <row r="1422" spans="1:9" x14ac:dyDescent="0.3">
      <c r="A1422" t="s">
        <v>10122</v>
      </c>
      <c r="B1422" t="s">
        <v>14</v>
      </c>
      <c r="C1422">
        <v>7648876604</v>
      </c>
      <c r="D1422" s="2">
        <v>1</v>
      </c>
      <c r="E1422" t="str">
        <f>"4574674200720175"</f>
        <v>4574674200720175</v>
      </c>
      <c r="F1422" t="str">
        <f>"567"</f>
        <v>567</v>
      </c>
      <c r="G1422">
        <v>1</v>
      </c>
      <c r="H1422">
        <v>2023</v>
      </c>
      <c r="I1422" t="s">
        <v>1537</v>
      </c>
    </row>
    <row r="1423" spans="1:9" x14ac:dyDescent="0.3">
      <c r="A1423" t="s">
        <v>10122</v>
      </c>
      <c r="B1423" t="s">
        <v>14</v>
      </c>
      <c r="C1423">
        <v>7648876604</v>
      </c>
      <c r="D1423" s="2">
        <v>1</v>
      </c>
      <c r="E1423" t="str">
        <f>"4574674200720423"</f>
        <v>4574674200720423</v>
      </c>
      <c r="F1423" t="str">
        <f>"151"</f>
        <v>151</v>
      </c>
      <c r="G1423">
        <v>1</v>
      </c>
      <c r="H1423">
        <v>2023</v>
      </c>
      <c r="I1423" t="s">
        <v>1538</v>
      </c>
    </row>
    <row r="1424" spans="1:9" x14ac:dyDescent="0.3">
      <c r="A1424" t="s">
        <v>10122</v>
      </c>
      <c r="B1424" t="s">
        <v>14</v>
      </c>
      <c r="C1424">
        <v>7648876604</v>
      </c>
      <c r="D1424" s="2">
        <v>1</v>
      </c>
      <c r="E1424" t="str">
        <f>"4574674200720431"</f>
        <v>4574674200720431</v>
      </c>
      <c r="F1424" t="str">
        <f>"304"</f>
        <v>304</v>
      </c>
      <c r="G1424">
        <v>1</v>
      </c>
      <c r="H1424">
        <v>2023</v>
      </c>
      <c r="I1424" t="s">
        <v>1539</v>
      </c>
    </row>
    <row r="1425" spans="1:9" x14ac:dyDescent="0.3">
      <c r="A1425" t="s">
        <v>10122</v>
      </c>
      <c r="B1425" t="s">
        <v>14</v>
      </c>
      <c r="C1425">
        <v>7648876604</v>
      </c>
      <c r="D1425" s="2">
        <v>1</v>
      </c>
      <c r="E1425" t="str">
        <f>"4574674200720647"</f>
        <v>4574674200720647</v>
      </c>
      <c r="F1425" t="str">
        <f>"241"</f>
        <v>241</v>
      </c>
      <c r="G1425">
        <v>1</v>
      </c>
      <c r="H1425">
        <v>2023</v>
      </c>
      <c r="I1425" t="s">
        <v>1540</v>
      </c>
    </row>
    <row r="1426" spans="1:9" x14ac:dyDescent="0.3">
      <c r="A1426" t="s">
        <v>10122</v>
      </c>
      <c r="B1426" t="s">
        <v>14</v>
      </c>
      <c r="C1426">
        <v>7648876604</v>
      </c>
      <c r="D1426" s="2">
        <v>1</v>
      </c>
      <c r="E1426" t="str">
        <f>"4574674200720456"</f>
        <v>4574674200720456</v>
      </c>
      <c r="F1426" t="str">
        <f>"505"</f>
        <v>505</v>
      </c>
      <c r="G1426">
        <v>1</v>
      </c>
      <c r="H1426">
        <v>2023</v>
      </c>
      <c r="I1426" t="s">
        <v>1541</v>
      </c>
    </row>
    <row r="1427" spans="1:9" x14ac:dyDescent="0.3">
      <c r="A1427" t="s">
        <v>10122</v>
      </c>
      <c r="B1427" t="s">
        <v>14</v>
      </c>
      <c r="C1427">
        <v>7648876604</v>
      </c>
      <c r="D1427" s="2">
        <v>1</v>
      </c>
      <c r="E1427" t="str">
        <f>"4574674200720464"</f>
        <v>4574674200720464</v>
      </c>
      <c r="F1427" t="str">
        <f>"533"</f>
        <v>533</v>
      </c>
      <c r="G1427">
        <v>1</v>
      </c>
      <c r="H1427">
        <v>2023</v>
      </c>
      <c r="I1427" t="s">
        <v>1542</v>
      </c>
    </row>
    <row r="1428" spans="1:9" x14ac:dyDescent="0.3">
      <c r="A1428" t="s">
        <v>10122</v>
      </c>
      <c r="B1428" t="s">
        <v>14</v>
      </c>
      <c r="C1428">
        <v>7648876604</v>
      </c>
      <c r="D1428" s="2">
        <v>1</v>
      </c>
      <c r="E1428" t="str">
        <f>"4574674200720472"</f>
        <v>4574674200720472</v>
      </c>
      <c r="F1428" t="str">
        <f>"003"</f>
        <v>003</v>
      </c>
      <c r="G1428">
        <v>1</v>
      </c>
      <c r="H1428">
        <v>2023</v>
      </c>
      <c r="I1428" t="s">
        <v>1543</v>
      </c>
    </row>
    <row r="1429" spans="1:9" x14ac:dyDescent="0.3">
      <c r="A1429" t="s">
        <v>10122</v>
      </c>
      <c r="B1429" t="s">
        <v>14</v>
      </c>
      <c r="C1429">
        <v>7648876604</v>
      </c>
      <c r="D1429" s="2">
        <v>1</v>
      </c>
      <c r="E1429" t="str">
        <f>"4574674200720795"</f>
        <v>4574674200720795</v>
      </c>
      <c r="F1429" t="str">
        <f>"763"</f>
        <v>763</v>
      </c>
      <c r="G1429">
        <v>1</v>
      </c>
      <c r="H1429">
        <v>2023</v>
      </c>
      <c r="I1429" t="s">
        <v>1544</v>
      </c>
    </row>
    <row r="1430" spans="1:9" x14ac:dyDescent="0.3">
      <c r="A1430" t="s">
        <v>10122</v>
      </c>
      <c r="B1430" t="s">
        <v>14</v>
      </c>
      <c r="C1430">
        <v>7648876604</v>
      </c>
      <c r="D1430" s="2">
        <v>1</v>
      </c>
      <c r="E1430" t="str">
        <f>"4574674200720548"</f>
        <v>4574674200720548</v>
      </c>
      <c r="F1430" t="str">
        <f>"836"</f>
        <v>836</v>
      </c>
      <c r="G1430">
        <v>1</v>
      </c>
      <c r="H1430">
        <v>2023</v>
      </c>
      <c r="I1430" t="s">
        <v>1545</v>
      </c>
    </row>
    <row r="1431" spans="1:9" x14ac:dyDescent="0.3">
      <c r="A1431" t="s">
        <v>10123</v>
      </c>
      <c r="B1431" t="s">
        <v>15</v>
      </c>
      <c r="C1431">
        <v>7648876604</v>
      </c>
      <c r="D1431" s="2">
        <v>1</v>
      </c>
      <c r="E1431" t="str">
        <f>"4574674200720522"</f>
        <v>4574674200720522</v>
      </c>
      <c r="F1431" t="str">
        <f>"531"</f>
        <v>531</v>
      </c>
      <c r="G1431">
        <v>1</v>
      </c>
      <c r="H1431">
        <v>2023</v>
      </c>
      <c r="I1431" t="s">
        <v>1546</v>
      </c>
    </row>
    <row r="1432" spans="1:9" x14ac:dyDescent="0.3">
      <c r="A1432" t="s">
        <v>10123</v>
      </c>
      <c r="B1432" t="s">
        <v>15</v>
      </c>
      <c r="C1432">
        <v>7648876604</v>
      </c>
      <c r="D1432" s="2">
        <v>1</v>
      </c>
      <c r="E1432" t="str">
        <f>"4574674200720555"</f>
        <v>4574674200720555</v>
      </c>
      <c r="F1432" t="str">
        <f>"465"</f>
        <v>465</v>
      </c>
      <c r="G1432">
        <v>1</v>
      </c>
      <c r="H1432">
        <v>2023</v>
      </c>
      <c r="I1432" t="s">
        <v>1547</v>
      </c>
    </row>
    <row r="1433" spans="1:9" x14ac:dyDescent="0.3">
      <c r="A1433" t="s">
        <v>10123</v>
      </c>
      <c r="B1433" t="s">
        <v>15</v>
      </c>
      <c r="C1433">
        <v>7648876604</v>
      </c>
      <c r="D1433" s="2">
        <v>1</v>
      </c>
      <c r="E1433" t="str">
        <f>"4574674200720563"</f>
        <v>4574674200720563</v>
      </c>
      <c r="F1433" t="str">
        <f>"229"</f>
        <v>229</v>
      </c>
      <c r="G1433">
        <v>1</v>
      </c>
      <c r="H1433">
        <v>2023</v>
      </c>
      <c r="I1433" t="s">
        <v>1548</v>
      </c>
    </row>
    <row r="1434" spans="1:9" x14ac:dyDescent="0.3">
      <c r="A1434" t="s">
        <v>10123</v>
      </c>
      <c r="B1434" t="s">
        <v>15</v>
      </c>
      <c r="C1434">
        <v>7648876604</v>
      </c>
      <c r="D1434" s="2">
        <v>1</v>
      </c>
      <c r="E1434" t="str">
        <f>"4574674200720589"</f>
        <v>4574674200720589</v>
      </c>
      <c r="F1434" t="str">
        <f>"077"</f>
        <v>077</v>
      </c>
      <c r="G1434">
        <v>1</v>
      </c>
      <c r="H1434">
        <v>2023</v>
      </c>
      <c r="I1434" t="s">
        <v>1549</v>
      </c>
    </row>
    <row r="1435" spans="1:9" x14ac:dyDescent="0.3">
      <c r="A1435" t="s">
        <v>10123</v>
      </c>
      <c r="B1435" t="s">
        <v>15</v>
      </c>
      <c r="C1435">
        <v>7648876604</v>
      </c>
      <c r="D1435" s="2">
        <v>1</v>
      </c>
      <c r="E1435" t="str">
        <f>"4574674200720597"</f>
        <v>4574674200720597</v>
      </c>
      <c r="F1435" t="str">
        <f>"064"</f>
        <v>064</v>
      </c>
      <c r="G1435">
        <v>1</v>
      </c>
      <c r="H1435">
        <v>2023</v>
      </c>
      <c r="I1435" t="s">
        <v>1550</v>
      </c>
    </row>
    <row r="1436" spans="1:9" x14ac:dyDescent="0.3">
      <c r="A1436" t="s">
        <v>10123</v>
      </c>
      <c r="B1436" t="s">
        <v>15</v>
      </c>
      <c r="C1436">
        <v>7648876604</v>
      </c>
      <c r="D1436" s="2">
        <v>1</v>
      </c>
      <c r="E1436" t="str">
        <f>"4574674200720944"</f>
        <v>4574674200720944</v>
      </c>
      <c r="F1436" t="str">
        <f>"439"</f>
        <v>439</v>
      </c>
      <c r="G1436">
        <v>1</v>
      </c>
      <c r="H1436">
        <v>2023</v>
      </c>
      <c r="I1436" t="s">
        <v>1551</v>
      </c>
    </row>
    <row r="1437" spans="1:9" x14ac:dyDescent="0.3">
      <c r="A1437" t="s">
        <v>10123</v>
      </c>
      <c r="B1437" t="s">
        <v>15</v>
      </c>
      <c r="C1437">
        <v>7648876604</v>
      </c>
      <c r="D1437" s="2">
        <v>1</v>
      </c>
      <c r="E1437" t="str">
        <f>"4574674200721231"</f>
        <v>4574674200721231</v>
      </c>
      <c r="F1437" t="str">
        <f>"038"</f>
        <v>038</v>
      </c>
      <c r="G1437">
        <v>1</v>
      </c>
      <c r="H1437">
        <v>2023</v>
      </c>
      <c r="I1437" t="s">
        <v>1552</v>
      </c>
    </row>
    <row r="1438" spans="1:9" x14ac:dyDescent="0.3">
      <c r="A1438" t="s">
        <v>10123</v>
      </c>
      <c r="B1438" t="s">
        <v>15</v>
      </c>
      <c r="C1438">
        <v>7648876604</v>
      </c>
      <c r="D1438" s="2">
        <v>1</v>
      </c>
      <c r="E1438" t="str">
        <f>"4574674200721223"</f>
        <v>4574674200721223</v>
      </c>
      <c r="F1438" t="str">
        <f>"956"</f>
        <v>956</v>
      </c>
      <c r="G1438">
        <v>1</v>
      </c>
      <c r="H1438">
        <v>2023</v>
      </c>
      <c r="I1438" t="s">
        <v>1553</v>
      </c>
    </row>
    <row r="1439" spans="1:9" x14ac:dyDescent="0.3">
      <c r="A1439" t="s">
        <v>10123</v>
      </c>
      <c r="B1439" t="s">
        <v>15</v>
      </c>
      <c r="C1439">
        <v>7648876604</v>
      </c>
      <c r="D1439" s="2">
        <v>1</v>
      </c>
      <c r="E1439" t="str">
        <f>"4574674200721264"</f>
        <v>4574674200721264</v>
      </c>
      <c r="F1439" t="str">
        <f>"964"</f>
        <v>964</v>
      </c>
      <c r="G1439">
        <v>1</v>
      </c>
      <c r="H1439">
        <v>2023</v>
      </c>
      <c r="I1439" t="s">
        <v>1554</v>
      </c>
    </row>
    <row r="1440" spans="1:9" x14ac:dyDescent="0.3">
      <c r="A1440" t="s">
        <v>10123</v>
      </c>
      <c r="B1440" t="s">
        <v>15</v>
      </c>
      <c r="C1440">
        <v>7648876604</v>
      </c>
      <c r="D1440" s="2">
        <v>1</v>
      </c>
      <c r="E1440" t="str">
        <f>"4574674200721256"</f>
        <v>4574674200721256</v>
      </c>
      <c r="F1440" t="str">
        <f>"544"</f>
        <v>544</v>
      </c>
      <c r="G1440">
        <v>1</v>
      </c>
      <c r="H1440">
        <v>2023</v>
      </c>
      <c r="I1440" t="s">
        <v>1555</v>
      </c>
    </row>
    <row r="1441" spans="1:9" x14ac:dyDescent="0.3">
      <c r="A1441" t="s">
        <v>10124</v>
      </c>
      <c r="B1441" t="s">
        <v>16</v>
      </c>
      <c r="C1441">
        <v>7648876604</v>
      </c>
      <c r="D1441" s="2">
        <v>1</v>
      </c>
      <c r="E1441" t="str">
        <f>"4574674200721272"</f>
        <v>4574674200721272</v>
      </c>
      <c r="F1441" t="str">
        <f>"099"</f>
        <v>099</v>
      </c>
      <c r="G1441">
        <v>1</v>
      </c>
      <c r="H1441">
        <v>2023</v>
      </c>
      <c r="I1441" t="s">
        <v>1556</v>
      </c>
    </row>
    <row r="1442" spans="1:9" x14ac:dyDescent="0.3">
      <c r="A1442" t="s">
        <v>10124</v>
      </c>
      <c r="B1442" t="s">
        <v>16</v>
      </c>
      <c r="C1442">
        <v>7648876604</v>
      </c>
      <c r="D1442" s="2">
        <v>1</v>
      </c>
      <c r="E1442" t="str">
        <f>"4574674200721306"</f>
        <v>4574674200721306</v>
      </c>
      <c r="F1442" t="str">
        <f>"200"</f>
        <v>200</v>
      </c>
      <c r="G1442">
        <v>1</v>
      </c>
      <c r="H1442">
        <v>2023</v>
      </c>
      <c r="I1442" t="s">
        <v>1557</v>
      </c>
    </row>
    <row r="1443" spans="1:9" x14ac:dyDescent="0.3">
      <c r="A1443" t="s">
        <v>10124</v>
      </c>
      <c r="B1443" t="s">
        <v>16</v>
      </c>
      <c r="C1443">
        <v>7648876604</v>
      </c>
      <c r="D1443" s="2">
        <v>1</v>
      </c>
      <c r="E1443" t="str">
        <f>"4574674200721132"</f>
        <v>4574674200721132</v>
      </c>
      <c r="F1443" t="str">
        <f>"484"</f>
        <v>484</v>
      </c>
      <c r="G1443">
        <v>1</v>
      </c>
      <c r="H1443">
        <v>2023</v>
      </c>
      <c r="I1443" t="s">
        <v>1558</v>
      </c>
    </row>
    <row r="1444" spans="1:9" x14ac:dyDescent="0.3">
      <c r="A1444" t="s">
        <v>10124</v>
      </c>
      <c r="B1444" t="s">
        <v>16</v>
      </c>
      <c r="C1444">
        <v>7648876604</v>
      </c>
      <c r="D1444" s="2">
        <v>1</v>
      </c>
      <c r="E1444" t="str">
        <f>"4574674200721330"</f>
        <v>4574674200721330</v>
      </c>
      <c r="F1444" t="str">
        <f>"344"</f>
        <v>344</v>
      </c>
      <c r="G1444">
        <v>1</v>
      </c>
      <c r="H1444">
        <v>2023</v>
      </c>
      <c r="I1444" t="s">
        <v>1559</v>
      </c>
    </row>
    <row r="1445" spans="1:9" x14ac:dyDescent="0.3">
      <c r="A1445" t="s">
        <v>10124</v>
      </c>
      <c r="B1445" t="s">
        <v>16</v>
      </c>
      <c r="C1445">
        <v>7648876604</v>
      </c>
      <c r="D1445" s="2">
        <v>1</v>
      </c>
      <c r="E1445" t="str">
        <f>"4574674200721322"</f>
        <v>4574674200721322</v>
      </c>
      <c r="F1445" t="str">
        <f>"569"</f>
        <v>569</v>
      </c>
      <c r="G1445">
        <v>1</v>
      </c>
      <c r="H1445">
        <v>2023</v>
      </c>
      <c r="I1445" t="s">
        <v>1560</v>
      </c>
    </row>
    <row r="1446" spans="1:9" x14ac:dyDescent="0.3">
      <c r="A1446" t="s">
        <v>10124</v>
      </c>
      <c r="B1446" t="s">
        <v>16</v>
      </c>
      <c r="C1446">
        <v>7648876604</v>
      </c>
      <c r="D1446" s="2">
        <v>1</v>
      </c>
      <c r="E1446" t="str">
        <f>"4574674200721355"</f>
        <v>4574674200721355</v>
      </c>
      <c r="F1446" t="str">
        <f>"536"</f>
        <v>536</v>
      </c>
      <c r="G1446">
        <v>1</v>
      </c>
      <c r="H1446">
        <v>2023</v>
      </c>
      <c r="I1446" t="s">
        <v>1561</v>
      </c>
    </row>
    <row r="1447" spans="1:9" x14ac:dyDescent="0.3">
      <c r="A1447" t="s">
        <v>10124</v>
      </c>
      <c r="B1447" t="s">
        <v>16</v>
      </c>
      <c r="C1447">
        <v>7648876604</v>
      </c>
      <c r="D1447" s="2">
        <v>1</v>
      </c>
      <c r="E1447" t="str">
        <f>"4574674200721397"</f>
        <v>4574674200721397</v>
      </c>
      <c r="F1447" t="str">
        <f>"214"</f>
        <v>214</v>
      </c>
      <c r="G1447">
        <v>1</v>
      </c>
      <c r="H1447">
        <v>2023</v>
      </c>
      <c r="I1447" t="s">
        <v>1562</v>
      </c>
    </row>
    <row r="1448" spans="1:9" x14ac:dyDescent="0.3">
      <c r="A1448" t="s">
        <v>10124</v>
      </c>
      <c r="B1448" t="s">
        <v>16</v>
      </c>
      <c r="C1448">
        <v>7648876604</v>
      </c>
      <c r="D1448" s="2">
        <v>1</v>
      </c>
      <c r="E1448" t="str">
        <f>"4574674200721181"</f>
        <v>4574674200721181</v>
      </c>
      <c r="F1448" t="str">
        <f>"339"</f>
        <v>339</v>
      </c>
      <c r="G1448">
        <v>1</v>
      </c>
      <c r="H1448">
        <v>2023</v>
      </c>
      <c r="I1448" t="s">
        <v>1563</v>
      </c>
    </row>
    <row r="1449" spans="1:9" x14ac:dyDescent="0.3">
      <c r="A1449" t="s">
        <v>10124</v>
      </c>
      <c r="B1449" t="s">
        <v>16</v>
      </c>
      <c r="C1449">
        <v>7648876604</v>
      </c>
      <c r="D1449" s="2">
        <v>1</v>
      </c>
      <c r="E1449" t="str">
        <f>"4574674200721421"</f>
        <v>4574674200721421</v>
      </c>
      <c r="F1449" t="str">
        <f>"777"</f>
        <v>777</v>
      </c>
      <c r="G1449">
        <v>1</v>
      </c>
      <c r="H1449">
        <v>2023</v>
      </c>
      <c r="I1449" t="s">
        <v>1564</v>
      </c>
    </row>
    <row r="1450" spans="1:9" x14ac:dyDescent="0.3">
      <c r="A1450" t="s">
        <v>10124</v>
      </c>
      <c r="B1450" t="s">
        <v>16</v>
      </c>
      <c r="C1450">
        <v>7648876604</v>
      </c>
      <c r="D1450" s="2">
        <v>1</v>
      </c>
      <c r="E1450" t="str">
        <f>"4574674200721447"</f>
        <v>4574674200721447</v>
      </c>
      <c r="F1450" t="str">
        <f>"711"</f>
        <v>711</v>
      </c>
      <c r="G1450">
        <v>1</v>
      </c>
      <c r="H1450">
        <v>2023</v>
      </c>
      <c r="I1450" t="s">
        <v>1565</v>
      </c>
    </row>
    <row r="1451" spans="1:9" x14ac:dyDescent="0.3">
      <c r="A1451" t="s">
        <v>10125</v>
      </c>
      <c r="B1451" t="s">
        <v>17</v>
      </c>
      <c r="C1451">
        <v>7648876604</v>
      </c>
      <c r="D1451" s="2">
        <v>1</v>
      </c>
      <c r="E1451" t="str">
        <f>"4574674200721439"</f>
        <v>4574674200721439</v>
      </c>
      <c r="F1451" t="str">
        <f>"511"</f>
        <v>511</v>
      </c>
      <c r="G1451">
        <v>1</v>
      </c>
      <c r="H1451">
        <v>2023</v>
      </c>
      <c r="I1451" t="s">
        <v>1566</v>
      </c>
    </row>
    <row r="1452" spans="1:9" x14ac:dyDescent="0.3">
      <c r="A1452" t="s">
        <v>10125</v>
      </c>
      <c r="B1452" t="s">
        <v>17</v>
      </c>
      <c r="C1452">
        <v>7648876604</v>
      </c>
      <c r="D1452" s="2">
        <v>1</v>
      </c>
      <c r="E1452" t="str">
        <f>"4574674200721470"</f>
        <v>4574674200721470</v>
      </c>
      <c r="F1452" t="str">
        <f>"249"</f>
        <v>249</v>
      </c>
      <c r="G1452">
        <v>1</v>
      </c>
      <c r="H1452">
        <v>2023</v>
      </c>
      <c r="I1452" t="s">
        <v>1567</v>
      </c>
    </row>
    <row r="1453" spans="1:9" x14ac:dyDescent="0.3">
      <c r="A1453" t="s">
        <v>10125</v>
      </c>
      <c r="B1453" t="s">
        <v>17</v>
      </c>
      <c r="C1453">
        <v>7648876604</v>
      </c>
      <c r="D1453" s="2">
        <v>1</v>
      </c>
      <c r="E1453" t="str">
        <f>"4574674200721751"</f>
        <v>4574674200721751</v>
      </c>
      <c r="F1453" t="str">
        <f>"783"</f>
        <v>783</v>
      </c>
      <c r="G1453">
        <v>1</v>
      </c>
      <c r="H1453">
        <v>2023</v>
      </c>
      <c r="I1453" t="s">
        <v>1568</v>
      </c>
    </row>
    <row r="1454" spans="1:9" x14ac:dyDescent="0.3">
      <c r="A1454" t="s">
        <v>10125</v>
      </c>
      <c r="B1454" t="s">
        <v>17</v>
      </c>
      <c r="C1454">
        <v>7648876604</v>
      </c>
      <c r="D1454" s="2">
        <v>1</v>
      </c>
      <c r="E1454" t="str">
        <f>"4574674200721512"</f>
        <v>4574674200721512</v>
      </c>
      <c r="F1454" t="str">
        <f>"470"</f>
        <v>470</v>
      </c>
      <c r="G1454">
        <v>1</v>
      </c>
      <c r="H1454">
        <v>2023</v>
      </c>
      <c r="I1454" t="s">
        <v>1569</v>
      </c>
    </row>
    <row r="1455" spans="1:9" x14ac:dyDescent="0.3">
      <c r="A1455" t="s">
        <v>10125</v>
      </c>
      <c r="B1455" t="s">
        <v>17</v>
      </c>
      <c r="C1455">
        <v>7648876604</v>
      </c>
      <c r="D1455" s="2">
        <v>1</v>
      </c>
      <c r="E1455" t="str">
        <f>"4574674200721538"</f>
        <v>4574674200721538</v>
      </c>
      <c r="F1455" t="str">
        <f>"722"</f>
        <v>722</v>
      </c>
      <c r="G1455">
        <v>1</v>
      </c>
      <c r="H1455">
        <v>2023</v>
      </c>
      <c r="I1455" t="s">
        <v>1570</v>
      </c>
    </row>
    <row r="1456" spans="1:9" x14ac:dyDescent="0.3">
      <c r="A1456" t="s">
        <v>10125</v>
      </c>
      <c r="B1456" t="s">
        <v>17</v>
      </c>
      <c r="C1456">
        <v>7648876604</v>
      </c>
      <c r="D1456" s="2">
        <v>1</v>
      </c>
      <c r="E1456" t="str">
        <f>"4574674200721546"</f>
        <v>4574674200721546</v>
      </c>
      <c r="F1456" t="str">
        <f>"084"</f>
        <v>084</v>
      </c>
      <c r="G1456">
        <v>1</v>
      </c>
      <c r="H1456">
        <v>2023</v>
      </c>
      <c r="I1456" t="s">
        <v>1571</v>
      </c>
    </row>
    <row r="1457" spans="1:9" x14ac:dyDescent="0.3">
      <c r="A1457" t="s">
        <v>10125</v>
      </c>
      <c r="B1457" t="s">
        <v>17</v>
      </c>
      <c r="C1457">
        <v>7648876604</v>
      </c>
      <c r="D1457" s="2">
        <v>1</v>
      </c>
      <c r="E1457" t="str">
        <f>"4574674200721561"</f>
        <v>4574674200721561</v>
      </c>
      <c r="F1457" t="str">
        <f>"620"</f>
        <v>620</v>
      </c>
      <c r="G1457">
        <v>1</v>
      </c>
      <c r="H1457">
        <v>2023</v>
      </c>
      <c r="I1457" t="s">
        <v>1572</v>
      </c>
    </row>
    <row r="1458" spans="1:9" x14ac:dyDescent="0.3">
      <c r="A1458" t="s">
        <v>10125</v>
      </c>
      <c r="B1458" t="s">
        <v>17</v>
      </c>
      <c r="C1458">
        <v>7648876604</v>
      </c>
      <c r="D1458" s="2">
        <v>1</v>
      </c>
      <c r="E1458" t="str">
        <f>"4574674200721595"</f>
        <v>4574674200721595</v>
      </c>
      <c r="F1458" t="str">
        <f>"382"</f>
        <v>382</v>
      </c>
      <c r="G1458">
        <v>1</v>
      </c>
      <c r="H1458">
        <v>2023</v>
      </c>
      <c r="I1458" t="s">
        <v>1573</v>
      </c>
    </row>
    <row r="1459" spans="1:9" x14ac:dyDescent="0.3">
      <c r="A1459" t="s">
        <v>10125</v>
      </c>
      <c r="B1459" t="s">
        <v>17</v>
      </c>
      <c r="C1459">
        <v>7648876604</v>
      </c>
      <c r="D1459" s="2">
        <v>1</v>
      </c>
      <c r="E1459" t="str">
        <f>"4574674200721900"</f>
        <v>4574674200721900</v>
      </c>
      <c r="F1459" t="str">
        <f>"791"</f>
        <v>791</v>
      </c>
      <c r="G1459">
        <v>1</v>
      </c>
      <c r="H1459">
        <v>2023</v>
      </c>
      <c r="I1459" t="s">
        <v>1574</v>
      </c>
    </row>
    <row r="1460" spans="1:9" x14ac:dyDescent="0.3">
      <c r="A1460" t="s">
        <v>10125</v>
      </c>
      <c r="B1460" t="s">
        <v>17</v>
      </c>
      <c r="C1460">
        <v>7648876604</v>
      </c>
      <c r="D1460" s="2">
        <v>1</v>
      </c>
      <c r="E1460" t="str">
        <f>"4574674200722015"</f>
        <v>4574674200722015</v>
      </c>
      <c r="F1460" t="str">
        <f>"591"</f>
        <v>591</v>
      </c>
      <c r="G1460">
        <v>1</v>
      </c>
      <c r="H1460">
        <v>2023</v>
      </c>
      <c r="I1460" t="s">
        <v>1575</v>
      </c>
    </row>
    <row r="1461" spans="1:9" x14ac:dyDescent="0.3">
      <c r="A1461" t="s">
        <v>10126</v>
      </c>
      <c r="B1461" t="s">
        <v>18</v>
      </c>
      <c r="C1461">
        <v>7648876604</v>
      </c>
      <c r="D1461" s="2">
        <v>1</v>
      </c>
      <c r="E1461" t="str">
        <f>"4574674200722056"</f>
        <v>4574674200722056</v>
      </c>
      <c r="F1461" t="str">
        <f>"109"</f>
        <v>109</v>
      </c>
      <c r="G1461">
        <v>1</v>
      </c>
      <c r="H1461">
        <v>2023</v>
      </c>
      <c r="I1461" t="s">
        <v>1576</v>
      </c>
    </row>
    <row r="1462" spans="1:9" x14ac:dyDescent="0.3">
      <c r="A1462" t="s">
        <v>10126</v>
      </c>
      <c r="B1462" t="s">
        <v>18</v>
      </c>
      <c r="C1462">
        <v>7648876604</v>
      </c>
      <c r="D1462" s="2">
        <v>1</v>
      </c>
      <c r="E1462" t="str">
        <f>"4574674200722049"</f>
        <v>4574674200722049</v>
      </c>
      <c r="F1462" t="str">
        <f>"635"</f>
        <v>635</v>
      </c>
      <c r="G1462">
        <v>1</v>
      </c>
      <c r="H1462">
        <v>2023</v>
      </c>
      <c r="I1462" t="s">
        <v>1577</v>
      </c>
    </row>
    <row r="1463" spans="1:9" x14ac:dyDescent="0.3">
      <c r="A1463" t="s">
        <v>10126</v>
      </c>
      <c r="B1463" t="s">
        <v>18</v>
      </c>
      <c r="C1463">
        <v>7648876604</v>
      </c>
      <c r="D1463" s="2">
        <v>1</v>
      </c>
      <c r="E1463" t="str">
        <f>"4574674200722064"</f>
        <v>4574674200722064</v>
      </c>
      <c r="F1463" t="str">
        <f>"577"</f>
        <v>577</v>
      </c>
      <c r="G1463">
        <v>1</v>
      </c>
      <c r="H1463">
        <v>2023</v>
      </c>
      <c r="I1463" t="s">
        <v>1578</v>
      </c>
    </row>
    <row r="1464" spans="1:9" x14ac:dyDescent="0.3">
      <c r="A1464" t="s">
        <v>10126</v>
      </c>
      <c r="B1464" t="s">
        <v>18</v>
      </c>
      <c r="C1464">
        <v>7648876604</v>
      </c>
      <c r="D1464" s="2">
        <v>1</v>
      </c>
      <c r="E1464" t="str">
        <f>"4574674200722072"</f>
        <v>4574674200722072</v>
      </c>
      <c r="F1464" t="str">
        <f>"392"</f>
        <v>392</v>
      </c>
      <c r="G1464">
        <v>1</v>
      </c>
      <c r="H1464">
        <v>2023</v>
      </c>
      <c r="I1464" t="s">
        <v>1579</v>
      </c>
    </row>
    <row r="1465" spans="1:9" x14ac:dyDescent="0.3">
      <c r="A1465" t="s">
        <v>10126</v>
      </c>
      <c r="B1465" t="s">
        <v>18</v>
      </c>
      <c r="C1465">
        <v>7648876604</v>
      </c>
      <c r="D1465" s="2">
        <v>1</v>
      </c>
      <c r="E1465" t="str">
        <f>"4574674200722262"</f>
        <v>4574674200722262</v>
      </c>
      <c r="F1465" t="str">
        <f>"880"</f>
        <v>880</v>
      </c>
      <c r="G1465">
        <v>1</v>
      </c>
      <c r="H1465">
        <v>2023</v>
      </c>
      <c r="I1465" t="s">
        <v>1580</v>
      </c>
    </row>
    <row r="1466" spans="1:9" x14ac:dyDescent="0.3">
      <c r="A1466" t="s">
        <v>10126</v>
      </c>
      <c r="B1466" t="s">
        <v>18</v>
      </c>
      <c r="C1466">
        <v>7648876604</v>
      </c>
      <c r="D1466" s="2">
        <v>1</v>
      </c>
      <c r="E1466" t="str">
        <f>"4574674200722114"</f>
        <v>4574674200722114</v>
      </c>
      <c r="F1466" t="str">
        <f>"998"</f>
        <v>998</v>
      </c>
      <c r="G1466">
        <v>1</v>
      </c>
      <c r="H1466">
        <v>2023</v>
      </c>
      <c r="I1466" t="s">
        <v>1581</v>
      </c>
    </row>
    <row r="1467" spans="1:9" x14ac:dyDescent="0.3">
      <c r="A1467" t="s">
        <v>10126</v>
      </c>
      <c r="B1467" t="s">
        <v>18</v>
      </c>
      <c r="C1467">
        <v>7648876604</v>
      </c>
      <c r="D1467" s="2">
        <v>1</v>
      </c>
      <c r="E1467" t="str">
        <f>"4574674200722130"</f>
        <v>4574674200722130</v>
      </c>
      <c r="F1467" t="str">
        <f>"572"</f>
        <v>572</v>
      </c>
      <c r="G1467">
        <v>1</v>
      </c>
      <c r="H1467">
        <v>2023</v>
      </c>
      <c r="I1467" t="s">
        <v>1582</v>
      </c>
    </row>
    <row r="1468" spans="1:9" x14ac:dyDescent="0.3">
      <c r="A1468" t="s">
        <v>10126</v>
      </c>
      <c r="B1468" t="s">
        <v>18</v>
      </c>
      <c r="C1468">
        <v>7648876604</v>
      </c>
      <c r="D1468" s="2">
        <v>1</v>
      </c>
      <c r="E1468" t="str">
        <f>"4574674200722163"</f>
        <v>4574674200722163</v>
      </c>
      <c r="F1468" t="str">
        <f>"161"</f>
        <v>161</v>
      </c>
      <c r="G1468">
        <v>1</v>
      </c>
      <c r="H1468">
        <v>2023</v>
      </c>
      <c r="I1468" t="s">
        <v>1583</v>
      </c>
    </row>
    <row r="1469" spans="1:9" x14ac:dyDescent="0.3">
      <c r="A1469" t="s">
        <v>10126</v>
      </c>
      <c r="B1469" t="s">
        <v>18</v>
      </c>
      <c r="C1469">
        <v>7648876604</v>
      </c>
      <c r="D1469" s="2">
        <v>1</v>
      </c>
      <c r="E1469" t="str">
        <f>"4574674200722155"</f>
        <v>4574674200722155</v>
      </c>
      <c r="F1469" t="str">
        <f>"146"</f>
        <v>146</v>
      </c>
      <c r="G1469">
        <v>1</v>
      </c>
      <c r="H1469">
        <v>2023</v>
      </c>
      <c r="I1469" t="s">
        <v>1584</v>
      </c>
    </row>
    <row r="1470" spans="1:9" x14ac:dyDescent="0.3">
      <c r="A1470" t="s">
        <v>10126</v>
      </c>
      <c r="B1470" t="s">
        <v>18</v>
      </c>
      <c r="C1470">
        <v>7648876604</v>
      </c>
      <c r="D1470" s="2">
        <v>1</v>
      </c>
      <c r="E1470" t="str">
        <f>"4574674200722189"</f>
        <v>4574674200722189</v>
      </c>
      <c r="F1470" t="str">
        <f>"039"</f>
        <v>039</v>
      </c>
      <c r="G1470">
        <v>1</v>
      </c>
      <c r="H1470">
        <v>2023</v>
      </c>
      <c r="I1470" t="s">
        <v>1585</v>
      </c>
    </row>
    <row r="1471" spans="1:9" x14ac:dyDescent="0.3">
      <c r="A1471" t="s">
        <v>10127</v>
      </c>
      <c r="B1471" t="s">
        <v>19</v>
      </c>
      <c r="C1471">
        <v>7648876604</v>
      </c>
      <c r="D1471" s="2">
        <v>1</v>
      </c>
      <c r="E1471" t="str">
        <f>"4574674200722403"</f>
        <v>4574674200722403</v>
      </c>
      <c r="F1471" t="str">
        <f>"805"</f>
        <v>805</v>
      </c>
      <c r="G1471">
        <v>1</v>
      </c>
      <c r="H1471">
        <v>2023</v>
      </c>
      <c r="I1471" t="s">
        <v>1586</v>
      </c>
    </row>
    <row r="1472" spans="1:9" x14ac:dyDescent="0.3">
      <c r="A1472" t="s">
        <v>10127</v>
      </c>
      <c r="B1472" t="s">
        <v>19</v>
      </c>
      <c r="C1472">
        <v>7648876604</v>
      </c>
      <c r="D1472" s="2">
        <v>1</v>
      </c>
      <c r="E1472" t="str">
        <f>"4574674200722619"</f>
        <v>4574674200722619</v>
      </c>
      <c r="F1472" t="str">
        <f>"637"</f>
        <v>637</v>
      </c>
      <c r="G1472">
        <v>1</v>
      </c>
      <c r="H1472">
        <v>2023</v>
      </c>
      <c r="I1472" t="s">
        <v>1587</v>
      </c>
    </row>
    <row r="1473" spans="1:9" x14ac:dyDescent="0.3">
      <c r="A1473" t="s">
        <v>10127</v>
      </c>
      <c r="B1473" t="s">
        <v>19</v>
      </c>
      <c r="C1473">
        <v>7648876604</v>
      </c>
      <c r="D1473" s="2">
        <v>1</v>
      </c>
      <c r="E1473" t="str">
        <f>"4574674200722437"</f>
        <v>4574674200722437</v>
      </c>
      <c r="F1473" t="str">
        <f>"066"</f>
        <v>066</v>
      </c>
      <c r="G1473">
        <v>1</v>
      </c>
      <c r="H1473">
        <v>2023</v>
      </c>
      <c r="I1473" t="s">
        <v>1588</v>
      </c>
    </row>
    <row r="1474" spans="1:9" x14ac:dyDescent="0.3">
      <c r="A1474" t="s">
        <v>10127</v>
      </c>
      <c r="B1474" t="s">
        <v>19</v>
      </c>
      <c r="C1474">
        <v>7648876604</v>
      </c>
      <c r="D1474" s="2">
        <v>1</v>
      </c>
      <c r="E1474" t="str">
        <f>"4574674200722445"</f>
        <v>4574674200722445</v>
      </c>
      <c r="F1474" t="str">
        <f>"674"</f>
        <v>674</v>
      </c>
      <c r="G1474">
        <v>1</v>
      </c>
      <c r="H1474">
        <v>2023</v>
      </c>
      <c r="I1474" t="s">
        <v>1589</v>
      </c>
    </row>
    <row r="1475" spans="1:9" x14ac:dyDescent="0.3">
      <c r="A1475" t="s">
        <v>10127</v>
      </c>
      <c r="B1475" t="s">
        <v>19</v>
      </c>
      <c r="C1475">
        <v>7648876604</v>
      </c>
      <c r="D1475" s="2">
        <v>1</v>
      </c>
      <c r="E1475" t="str">
        <f>"4574674200722478"</f>
        <v>4574674200722478</v>
      </c>
      <c r="F1475" t="str">
        <f>"626"</f>
        <v>626</v>
      </c>
      <c r="G1475">
        <v>1</v>
      </c>
      <c r="H1475">
        <v>2023</v>
      </c>
      <c r="I1475" t="s">
        <v>1590</v>
      </c>
    </row>
    <row r="1476" spans="1:9" x14ac:dyDescent="0.3">
      <c r="A1476" t="s">
        <v>10127</v>
      </c>
      <c r="B1476" t="s">
        <v>19</v>
      </c>
      <c r="C1476">
        <v>7648876604</v>
      </c>
      <c r="D1476" s="2">
        <v>1</v>
      </c>
      <c r="E1476" t="str">
        <f>"4574674200722486"</f>
        <v>4574674200722486</v>
      </c>
      <c r="F1476" t="str">
        <f>"306"</f>
        <v>306</v>
      </c>
      <c r="G1476">
        <v>1</v>
      </c>
      <c r="H1476">
        <v>2023</v>
      </c>
      <c r="I1476" t="s">
        <v>1591</v>
      </c>
    </row>
    <row r="1477" spans="1:9" x14ac:dyDescent="0.3">
      <c r="A1477" t="s">
        <v>10127</v>
      </c>
      <c r="B1477" t="s">
        <v>19</v>
      </c>
      <c r="C1477">
        <v>7648876604</v>
      </c>
      <c r="D1477" s="2">
        <v>1</v>
      </c>
      <c r="E1477" t="str">
        <f>"4574674200722510"</f>
        <v>4574674200722510</v>
      </c>
      <c r="F1477" t="str">
        <f>"721"</f>
        <v>721</v>
      </c>
      <c r="G1477">
        <v>1</v>
      </c>
      <c r="H1477">
        <v>2023</v>
      </c>
      <c r="I1477" t="s">
        <v>1592</v>
      </c>
    </row>
    <row r="1478" spans="1:9" x14ac:dyDescent="0.3">
      <c r="A1478" t="s">
        <v>10127</v>
      </c>
      <c r="B1478" t="s">
        <v>19</v>
      </c>
      <c r="C1478">
        <v>7648876604</v>
      </c>
      <c r="D1478" s="2">
        <v>1</v>
      </c>
      <c r="E1478" t="str">
        <f>"4574674200722528"</f>
        <v>4574674200722528</v>
      </c>
      <c r="F1478" t="str">
        <f>"908"</f>
        <v>908</v>
      </c>
      <c r="G1478">
        <v>1</v>
      </c>
      <c r="H1478">
        <v>2023</v>
      </c>
      <c r="I1478" t="s">
        <v>1593</v>
      </c>
    </row>
    <row r="1479" spans="1:9" x14ac:dyDescent="0.3">
      <c r="A1479" t="s">
        <v>10127</v>
      </c>
      <c r="B1479" t="s">
        <v>19</v>
      </c>
      <c r="C1479">
        <v>7648876604</v>
      </c>
      <c r="D1479" s="2">
        <v>1</v>
      </c>
      <c r="E1479" t="str">
        <f>"4574674200722544"</f>
        <v>4574674200722544</v>
      </c>
      <c r="F1479" t="str">
        <f>"151"</f>
        <v>151</v>
      </c>
      <c r="G1479">
        <v>1</v>
      </c>
      <c r="H1479">
        <v>2023</v>
      </c>
      <c r="I1479" t="s">
        <v>1594</v>
      </c>
    </row>
    <row r="1480" spans="1:9" x14ac:dyDescent="0.3">
      <c r="A1480" t="s">
        <v>10127</v>
      </c>
      <c r="B1480" t="s">
        <v>19</v>
      </c>
      <c r="C1480">
        <v>7648876604</v>
      </c>
      <c r="D1480" s="2">
        <v>1</v>
      </c>
      <c r="E1480" t="str">
        <f>"4574674200722577"</f>
        <v>4574674200722577</v>
      </c>
      <c r="F1480" t="str">
        <f>"082"</f>
        <v>082</v>
      </c>
      <c r="G1480">
        <v>1</v>
      </c>
      <c r="H1480">
        <v>2023</v>
      </c>
      <c r="I1480" t="s">
        <v>1595</v>
      </c>
    </row>
    <row r="1481" spans="1:9" x14ac:dyDescent="0.3">
      <c r="A1481" t="s">
        <v>10128</v>
      </c>
      <c r="B1481" t="s">
        <v>20</v>
      </c>
      <c r="C1481">
        <v>7648876604</v>
      </c>
      <c r="D1481" s="2">
        <v>1</v>
      </c>
      <c r="E1481" t="str">
        <f>"4574674200722585"</f>
        <v>4574674200722585</v>
      </c>
      <c r="F1481" t="str">
        <f>"382"</f>
        <v>382</v>
      </c>
      <c r="G1481">
        <v>1</v>
      </c>
      <c r="H1481">
        <v>2023</v>
      </c>
      <c r="I1481" t="s">
        <v>1596</v>
      </c>
    </row>
    <row r="1482" spans="1:9" x14ac:dyDescent="0.3">
      <c r="A1482" t="s">
        <v>10128</v>
      </c>
      <c r="B1482" t="s">
        <v>20</v>
      </c>
      <c r="C1482">
        <v>7648876604</v>
      </c>
      <c r="D1482" s="2">
        <v>1</v>
      </c>
      <c r="E1482" t="str">
        <f>"4574674200722809"</f>
        <v>4574674200722809</v>
      </c>
      <c r="F1482" t="str">
        <f>"809"</f>
        <v>809</v>
      </c>
      <c r="G1482">
        <v>1</v>
      </c>
      <c r="H1482">
        <v>2023</v>
      </c>
      <c r="I1482" t="s">
        <v>1597</v>
      </c>
    </row>
    <row r="1483" spans="1:9" x14ac:dyDescent="0.3">
      <c r="A1483" t="s">
        <v>10128</v>
      </c>
      <c r="B1483" t="s">
        <v>20</v>
      </c>
      <c r="C1483">
        <v>7648876604</v>
      </c>
      <c r="D1483" s="2">
        <v>1</v>
      </c>
      <c r="E1483" t="str">
        <f>"4574674200722833"</f>
        <v>4574674200722833</v>
      </c>
      <c r="F1483" t="str">
        <f>"713"</f>
        <v>713</v>
      </c>
      <c r="G1483">
        <v>1</v>
      </c>
      <c r="H1483">
        <v>2023</v>
      </c>
      <c r="I1483" t="s">
        <v>1598</v>
      </c>
    </row>
    <row r="1484" spans="1:9" x14ac:dyDescent="0.3">
      <c r="A1484" t="s">
        <v>10128</v>
      </c>
      <c r="B1484" t="s">
        <v>20</v>
      </c>
      <c r="C1484">
        <v>7648876604</v>
      </c>
      <c r="D1484" s="2">
        <v>1</v>
      </c>
      <c r="E1484" t="str">
        <f>"4574674200722874"</f>
        <v>4574674200722874</v>
      </c>
      <c r="F1484" t="str">
        <f>"509"</f>
        <v>509</v>
      </c>
      <c r="G1484">
        <v>1</v>
      </c>
      <c r="H1484">
        <v>2023</v>
      </c>
      <c r="I1484" t="s">
        <v>1599</v>
      </c>
    </row>
    <row r="1485" spans="1:9" x14ac:dyDescent="0.3">
      <c r="A1485" t="s">
        <v>10128</v>
      </c>
      <c r="B1485" t="s">
        <v>20</v>
      </c>
      <c r="C1485">
        <v>7648876604</v>
      </c>
      <c r="D1485" s="2">
        <v>1</v>
      </c>
      <c r="E1485" t="str">
        <f>"4574674200722882"</f>
        <v>4574674200722882</v>
      </c>
      <c r="F1485" t="str">
        <f>"947"</f>
        <v>947</v>
      </c>
      <c r="G1485">
        <v>1</v>
      </c>
      <c r="H1485">
        <v>2023</v>
      </c>
      <c r="I1485" t="s">
        <v>1600</v>
      </c>
    </row>
    <row r="1486" spans="1:9" x14ac:dyDescent="0.3">
      <c r="A1486" t="s">
        <v>10128</v>
      </c>
      <c r="B1486" t="s">
        <v>20</v>
      </c>
      <c r="C1486">
        <v>7648876604</v>
      </c>
      <c r="D1486" s="2">
        <v>1</v>
      </c>
      <c r="E1486" t="str">
        <f>"4574674200722890"</f>
        <v>4574674200722890</v>
      </c>
      <c r="F1486" t="str">
        <f>"890"</f>
        <v>890</v>
      </c>
      <c r="G1486">
        <v>1</v>
      </c>
      <c r="H1486">
        <v>2023</v>
      </c>
      <c r="I1486" t="s">
        <v>1601</v>
      </c>
    </row>
    <row r="1487" spans="1:9" x14ac:dyDescent="0.3">
      <c r="A1487" t="s">
        <v>10128</v>
      </c>
      <c r="B1487" t="s">
        <v>20</v>
      </c>
      <c r="C1487">
        <v>7648876604</v>
      </c>
      <c r="D1487" s="2">
        <v>1</v>
      </c>
      <c r="E1487" t="str">
        <f>"4574674200722908"</f>
        <v>4574674200722908</v>
      </c>
      <c r="F1487" t="str">
        <f>"011"</f>
        <v>011</v>
      </c>
      <c r="G1487">
        <v>1</v>
      </c>
      <c r="H1487">
        <v>2023</v>
      </c>
      <c r="I1487" t="s">
        <v>1602</v>
      </c>
    </row>
    <row r="1488" spans="1:9" x14ac:dyDescent="0.3">
      <c r="A1488" t="s">
        <v>10128</v>
      </c>
      <c r="B1488" t="s">
        <v>20</v>
      </c>
      <c r="C1488">
        <v>7648876604</v>
      </c>
      <c r="D1488" s="2">
        <v>1</v>
      </c>
      <c r="E1488" t="str">
        <f>"4574674200722916"</f>
        <v>4574674200722916</v>
      </c>
      <c r="F1488" t="str">
        <f>"310"</f>
        <v>310</v>
      </c>
      <c r="G1488">
        <v>1</v>
      </c>
      <c r="H1488">
        <v>2023</v>
      </c>
      <c r="I1488" t="s">
        <v>1603</v>
      </c>
    </row>
    <row r="1489" spans="1:9" x14ac:dyDescent="0.3">
      <c r="A1489" t="s">
        <v>10128</v>
      </c>
      <c r="B1489" t="s">
        <v>20</v>
      </c>
      <c r="C1489">
        <v>7648876604</v>
      </c>
      <c r="D1489" s="2">
        <v>1</v>
      </c>
      <c r="E1489" t="str">
        <f>"4574674200723013"</f>
        <v>4574674200723013</v>
      </c>
      <c r="F1489" t="str">
        <f>"012"</f>
        <v>012</v>
      </c>
      <c r="G1489">
        <v>1</v>
      </c>
      <c r="H1489">
        <v>2023</v>
      </c>
      <c r="I1489" t="s">
        <v>1604</v>
      </c>
    </row>
    <row r="1490" spans="1:9" x14ac:dyDescent="0.3">
      <c r="A1490" t="s">
        <v>10128</v>
      </c>
      <c r="B1490" t="s">
        <v>20</v>
      </c>
      <c r="C1490">
        <v>7648876604</v>
      </c>
      <c r="D1490" s="2">
        <v>1</v>
      </c>
      <c r="E1490" t="str">
        <f>"4574674200722957"</f>
        <v>4574674200722957</v>
      </c>
      <c r="F1490" t="str">
        <f>"649"</f>
        <v>649</v>
      </c>
      <c r="G1490">
        <v>1</v>
      </c>
      <c r="H1490">
        <v>2023</v>
      </c>
      <c r="I1490" t="s">
        <v>1605</v>
      </c>
    </row>
    <row r="1491" spans="1:9" x14ac:dyDescent="0.3">
      <c r="A1491" t="s">
        <v>10129</v>
      </c>
      <c r="B1491" t="s">
        <v>21</v>
      </c>
      <c r="C1491">
        <v>7648876604</v>
      </c>
      <c r="D1491" s="2">
        <v>1</v>
      </c>
      <c r="E1491" t="str">
        <f>"4574674200722973"</f>
        <v>4574674200722973</v>
      </c>
      <c r="F1491" t="str">
        <f>"993"</f>
        <v>993</v>
      </c>
      <c r="G1491">
        <v>1</v>
      </c>
      <c r="H1491">
        <v>2023</v>
      </c>
      <c r="I1491" t="s">
        <v>1606</v>
      </c>
    </row>
    <row r="1492" spans="1:9" x14ac:dyDescent="0.3">
      <c r="A1492" t="s">
        <v>10129</v>
      </c>
      <c r="B1492" t="s">
        <v>21</v>
      </c>
      <c r="C1492">
        <v>7648876604</v>
      </c>
      <c r="D1492" s="2">
        <v>1</v>
      </c>
      <c r="E1492" t="str">
        <f>"4574674200722981"</f>
        <v>4574674200722981</v>
      </c>
      <c r="F1492" t="str">
        <f>"817"</f>
        <v>817</v>
      </c>
      <c r="G1492">
        <v>1</v>
      </c>
      <c r="H1492">
        <v>2023</v>
      </c>
      <c r="I1492" t="s">
        <v>1607</v>
      </c>
    </row>
    <row r="1493" spans="1:9" x14ac:dyDescent="0.3">
      <c r="A1493" t="s">
        <v>10129</v>
      </c>
      <c r="B1493" t="s">
        <v>21</v>
      </c>
      <c r="C1493">
        <v>7648876604</v>
      </c>
      <c r="D1493" s="2">
        <v>1</v>
      </c>
      <c r="E1493" t="str">
        <f>"4574674200722965"</f>
        <v>4574674200722965</v>
      </c>
      <c r="F1493" t="str">
        <f>"269"</f>
        <v>269</v>
      </c>
      <c r="G1493">
        <v>1</v>
      </c>
      <c r="H1493">
        <v>2023</v>
      </c>
      <c r="I1493" t="s">
        <v>1608</v>
      </c>
    </row>
    <row r="1494" spans="1:9" x14ac:dyDescent="0.3">
      <c r="A1494" t="s">
        <v>10129</v>
      </c>
      <c r="B1494" t="s">
        <v>21</v>
      </c>
      <c r="C1494">
        <v>7648876604</v>
      </c>
      <c r="D1494" s="2">
        <v>1</v>
      </c>
      <c r="E1494" t="str">
        <f>"4574674200722999"</f>
        <v>4574674200722999</v>
      </c>
      <c r="F1494" t="str">
        <f>"769"</f>
        <v>769</v>
      </c>
      <c r="G1494">
        <v>1</v>
      </c>
      <c r="H1494">
        <v>2023</v>
      </c>
      <c r="I1494" t="s">
        <v>1609</v>
      </c>
    </row>
    <row r="1495" spans="1:9" x14ac:dyDescent="0.3">
      <c r="A1495" t="s">
        <v>10129</v>
      </c>
      <c r="B1495" t="s">
        <v>21</v>
      </c>
      <c r="C1495">
        <v>7648876604</v>
      </c>
      <c r="D1495" s="2">
        <v>1</v>
      </c>
      <c r="E1495" t="str">
        <f>"4574674200723211"</f>
        <v>4574674200723211</v>
      </c>
      <c r="F1495" t="str">
        <f>"306"</f>
        <v>306</v>
      </c>
      <c r="G1495">
        <v>1</v>
      </c>
      <c r="H1495">
        <v>2023</v>
      </c>
      <c r="I1495" t="s">
        <v>1610</v>
      </c>
    </row>
    <row r="1496" spans="1:9" x14ac:dyDescent="0.3">
      <c r="A1496" t="s">
        <v>10129</v>
      </c>
      <c r="B1496" t="s">
        <v>21</v>
      </c>
      <c r="C1496">
        <v>7648876604</v>
      </c>
      <c r="D1496" s="2">
        <v>1</v>
      </c>
      <c r="E1496" t="str">
        <f>"4574674200723443"</f>
        <v>4574674200723443</v>
      </c>
      <c r="F1496" t="str">
        <f>"605"</f>
        <v>605</v>
      </c>
      <c r="G1496">
        <v>1</v>
      </c>
      <c r="H1496">
        <v>2023</v>
      </c>
      <c r="I1496" t="s">
        <v>1611</v>
      </c>
    </row>
    <row r="1497" spans="1:9" x14ac:dyDescent="0.3">
      <c r="A1497" t="s">
        <v>10129</v>
      </c>
      <c r="B1497" t="s">
        <v>21</v>
      </c>
      <c r="C1497">
        <v>7648876604</v>
      </c>
      <c r="D1497" s="2">
        <v>1</v>
      </c>
      <c r="E1497" t="str">
        <f>"4574674200723450"</f>
        <v>4574674200723450</v>
      </c>
      <c r="F1497" t="str">
        <f>"550"</f>
        <v>550</v>
      </c>
      <c r="G1497">
        <v>1</v>
      </c>
      <c r="H1497">
        <v>2023</v>
      </c>
      <c r="I1497" t="s">
        <v>1612</v>
      </c>
    </row>
    <row r="1498" spans="1:9" x14ac:dyDescent="0.3">
      <c r="A1498" t="s">
        <v>10129</v>
      </c>
      <c r="B1498" t="s">
        <v>21</v>
      </c>
      <c r="C1498">
        <v>7648876604</v>
      </c>
      <c r="D1498" s="2">
        <v>1</v>
      </c>
      <c r="E1498" t="str">
        <f>"4574674200723393"</f>
        <v>4574674200723393</v>
      </c>
      <c r="F1498" t="str">
        <f>"368"</f>
        <v>368</v>
      </c>
      <c r="G1498">
        <v>1</v>
      </c>
      <c r="H1498">
        <v>2023</v>
      </c>
      <c r="I1498" t="s">
        <v>1613</v>
      </c>
    </row>
    <row r="1499" spans="1:9" x14ac:dyDescent="0.3">
      <c r="A1499" t="s">
        <v>10129</v>
      </c>
      <c r="B1499" t="s">
        <v>21</v>
      </c>
      <c r="C1499">
        <v>7648876604</v>
      </c>
      <c r="D1499" s="2">
        <v>1</v>
      </c>
      <c r="E1499" t="str">
        <f>"4574674200723492"</f>
        <v>4574674200723492</v>
      </c>
      <c r="F1499" t="str">
        <f>"347"</f>
        <v>347</v>
      </c>
      <c r="G1499">
        <v>1</v>
      </c>
      <c r="H1499">
        <v>2023</v>
      </c>
      <c r="I1499" t="s">
        <v>1614</v>
      </c>
    </row>
    <row r="1500" spans="1:9" x14ac:dyDescent="0.3">
      <c r="A1500" t="s">
        <v>10129</v>
      </c>
      <c r="B1500" t="s">
        <v>21</v>
      </c>
      <c r="C1500">
        <v>7648876604</v>
      </c>
      <c r="D1500" s="2">
        <v>1</v>
      </c>
      <c r="E1500" t="str">
        <f>"4574674200723484"</f>
        <v>4574674200723484</v>
      </c>
      <c r="F1500" t="str">
        <f>"766"</f>
        <v>766</v>
      </c>
      <c r="G1500">
        <v>1</v>
      </c>
      <c r="H1500">
        <v>2023</v>
      </c>
      <c r="I1500" t="s">
        <v>1615</v>
      </c>
    </row>
    <row r="1501" spans="1:9" x14ac:dyDescent="0.3">
      <c r="A1501" t="s">
        <v>10130</v>
      </c>
      <c r="B1501" t="s">
        <v>22</v>
      </c>
      <c r="C1501">
        <v>7648876604</v>
      </c>
      <c r="D1501" s="2">
        <v>1</v>
      </c>
      <c r="E1501" t="str">
        <f>"4574674200723500"</f>
        <v>4574674200723500</v>
      </c>
      <c r="F1501" t="str">
        <f>"387"</f>
        <v>387</v>
      </c>
      <c r="G1501">
        <v>1</v>
      </c>
      <c r="H1501">
        <v>2023</v>
      </c>
      <c r="I1501" t="s">
        <v>1616</v>
      </c>
    </row>
    <row r="1502" spans="1:9" x14ac:dyDescent="0.3">
      <c r="A1502" t="s">
        <v>10130</v>
      </c>
      <c r="B1502" t="s">
        <v>22</v>
      </c>
      <c r="C1502">
        <v>7648876604</v>
      </c>
      <c r="D1502" s="2">
        <v>1</v>
      </c>
      <c r="E1502" t="str">
        <f>"4574674200723526"</f>
        <v>4574674200723526</v>
      </c>
      <c r="F1502" t="str">
        <f>"089"</f>
        <v>089</v>
      </c>
      <c r="G1502">
        <v>1</v>
      </c>
      <c r="H1502">
        <v>2023</v>
      </c>
      <c r="I1502" t="s">
        <v>1617</v>
      </c>
    </row>
    <row r="1503" spans="1:9" x14ac:dyDescent="0.3">
      <c r="A1503" t="s">
        <v>10130</v>
      </c>
      <c r="B1503" t="s">
        <v>22</v>
      </c>
      <c r="C1503">
        <v>7648876604</v>
      </c>
      <c r="D1503" s="2">
        <v>1</v>
      </c>
      <c r="E1503" t="str">
        <f>"4574674200723567"</f>
        <v>4574674200723567</v>
      </c>
      <c r="F1503" t="str">
        <f>"784"</f>
        <v>784</v>
      </c>
      <c r="G1503">
        <v>1</v>
      </c>
      <c r="H1503">
        <v>2023</v>
      </c>
      <c r="I1503" t="s">
        <v>1618</v>
      </c>
    </row>
    <row r="1504" spans="1:9" x14ac:dyDescent="0.3">
      <c r="A1504" t="s">
        <v>10130</v>
      </c>
      <c r="B1504" t="s">
        <v>22</v>
      </c>
      <c r="C1504">
        <v>7648876604</v>
      </c>
      <c r="D1504" s="2">
        <v>1</v>
      </c>
      <c r="E1504" t="str">
        <f>"4574674200723583"</f>
        <v>4574674200723583</v>
      </c>
      <c r="F1504" t="str">
        <f>"695"</f>
        <v>695</v>
      </c>
      <c r="G1504">
        <v>1</v>
      </c>
      <c r="H1504">
        <v>2023</v>
      </c>
      <c r="I1504" t="s">
        <v>1619</v>
      </c>
    </row>
    <row r="1505" spans="1:9" x14ac:dyDescent="0.3">
      <c r="A1505" t="s">
        <v>10130</v>
      </c>
      <c r="B1505" t="s">
        <v>22</v>
      </c>
      <c r="C1505">
        <v>7648876604</v>
      </c>
      <c r="D1505" s="2">
        <v>1</v>
      </c>
      <c r="E1505" t="str">
        <f>"4574674200723807"</f>
        <v>4574674200723807</v>
      </c>
      <c r="F1505" t="str">
        <f>"529"</f>
        <v>529</v>
      </c>
      <c r="G1505">
        <v>1</v>
      </c>
      <c r="H1505">
        <v>2023</v>
      </c>
      <c r="I1505" t="s">
        <v>1620</v>
      </c>
    </row>
    <row r="1506" spans="1:9" x14ac:dyDescent="0.3">
      <c r="A1506" t="s">
        <v>10130</v>
      </c>
      <c r="B1506" t="s">
        <v>22</v>
      </c>
      <c r="C1506">
        <v>7648876604</v>
      </c>
      <c r="D1506" s="2">
        <v>1</v>
      </c>
      <c r="E1506" t="str">
        <f>"4574674200724003"</f>
        <v>4574674200724003</v>
      </c>
      <c r="F1506" t="str">
        <f>"413"</f>
        <v>413</v>
      </c>
      <c r="G1506">
        <v>1</v>
      </c>
      <c r="H1506">
        <v>2023</v>
      </c>
      <c r="I1506" t="s">
        <v>1621</v>
      </c>
    </row>
    <row r="1507" spans="1:9" x14ac:dyDescent="0.3">
      <c r="A1507" t="s">
        <v>10130</v>
      </c>
      <c r="B1507" t="s">
        <v>22</v>
      </c>
      <c r="C1507">
        <v>7648876604</v>
      </c>
      <c r="D1507" s="2">
        <v>1</v>
      </c>
      <c r="E1507" t="str">
        <f>"4574674200724029"</f>
        <v>4574674200724029</v>
      </c>
      <c r="F1507" t="str">
        <f>"532"</f>
        <v>532</v>
      </c>
      <c r="G1507">
        <v>1</v>
      </c>
      <c r="H1507">
        <v>2023</v>
      </c>
      <c r="I1507" t="s">
        <v>1622</v>
      </c>
    </row>
    <row r="1508" spans="1:9" x14ac:dyDescent="0.3">
      <c r="A1508" t="s">
        <v>10130</v>
      </c>
      <c r="B1508" t="s">
        <v>22</v>
      </c>
      <c r="C1508">
        <v>7648876604</v>
      </c>
      <c r="D1508" s="2">
        <v>1</v>
      </c>
      <c r="E1508" t="str">
        <f>"4574674200724011"</f>
        <v>4574674200724011</v>
      </c>
      <c r="F1508" t="str">
        <f>"530"</f>
        <v>530</v>
      </c>
      <c r="G1508">
        <v>1</v>
      </c>
      <c r="H1508">
        <v>2023</v>
      </c>
      <c r="I1508" t="s">
        <v>1623</v>
      </c>
    </row>
    <row r="1509" spans="1:9" x14ac:dyDescent="0.3">
      <c r="A1509" t="s">
        <v>10130</v>
      </c>
      <c r="B1509" t="s">
        <v>22</v>
      </c>
      <c r="C1509">
        <v>7648876604</v>
      </c>
      <c r="D1509" s="2">
        <v>1</v>
      </c>
      <c r="E1509" t="str">
        <f>"4574674200724052"</f>
        <v>4574674200724052</v>
      </c>
      <c r="F1509" t="str">
        <f>"804"</f>
        <v>804</v>
      </c>
      <c r="G1509">
        <v>1</v>
      </c>
      <c r="H1509">
        <v>2023</v>
      </c>
      <c r="I1509" t="s">
        <v>1624</v>
      </c>
    </row>
    <row r="1510" spans="1:9" x14ac:dyDescent="0.3">
      <c r="A1510" t="s">
        <v>10130</v>
      </c>
      <c r="B1510" t="s">
        <v>22</v>
      </c>
      <c r="C1510">
        <v>7648876604</v>
      </c>
      <c r="D1510" s="2">
        <v>1</v>
      </c>
      <c r="E1510" t="str">
        <f>"4574674200724045"</f>
        <v>4574674200724045</v>
      </c>
      <c r="F1510" t="str">
        <f>"832"</f>
        <v>832</v>
      </c>
      <c r="G1510">
        <v>1</v>
      </c>
      <c r="H1510">
        <v>2023</v>
      </c>
      <c r="I1510" t="s">
        <v>1625</v>
      </c>
    </row>
    <row r="1511" spans="1:9" x14ac:dyDescent="0.3">
      <c r="A1511" t="s">
        <v>10131</v>
      </c>
      <c r="B1511" t="s">
        <v>23</v>
      </c>
      <c r="C1511">
        <v>7648876604</v>
      </c>
      <c r="D1511" s="2">
        <v>1</v>
      </c>
      <c r="E1511" t="str">
        <f>"4574674200724110"</f>
        <v>4574674200724110</v>
      </c>
      <c r="F1511" t="str">
        <f>"371"</f>
        <v>371</v>
      </c>
      <c r="G1511">
        <v>1</v>
      </c>
      <c r="H1511">
        <v>2023</v>
      </c>
      <c r="I1511" t="s">
        <v>1626</v>
      </c>
    </row>
    <row r="1512" spans="1:9" x14ac:dyDescent="0.3">
      <c r="A1512" t="s">
        <v>10131</v>
      </c>
      <c r="B1512" t="s">
        <v>23</v>
      </c>
      <c r="C1512">
        <v>7648876604</v>
      </c>
      <c r="D1512" s="2">
        <v>1</v>
      </c>
      <c r="E1512" t="str">
        <f>"4574674200723955"</f>
        <v>4574674200723955</v>
      </c>
      <c r="F1512" t="str">
        <f>"096"</f>
        <v>096</v>
      </c>
      <c r="G1512">
        <v>1</v>
      </c>
      <c r="H1512">
        <v>2023</v>
      </c>
      <c r="I1512" t="s">
        <v>1627</v>
      </c>
    </row>
    <row r="1513" spans="1:9" x14ac:dyDescent="0.3">
      <c r="A1513" t="s">
        <v>10131</v>
      </c>
      <c r="B1513" t="s">
        <v>23</v>
      </c>
      <c r="C1513">
        <v>7648876604</v>
      </c>
      <c r="D1513" s="2">
        <v>1</v>
      </c>
      <c r="E1513" t="str">
        <f>"4574674200724136"</f>
        <v>4574674200724136</v>
      </c>
      <c r="F1513" t="str">
        <f>"269"</f>
        <v>269</v>
      </c>
      <c r="G1513">
        <v>1</v>
      </c>
      <c r="H1513">
        <v>2023</v>
      </c>
      <c r="I1513" t="s">
        <v>1628</v>
      </c>
    </row>
    <row r="1514" spans="1:9" x14ac:dyDescent="0.3">
      <c r="A1514" t="s">
        <v>10131</v>
      </c>
      <c r="B1514" t="s">
        <v>23</v>
      </c>
      <c r="C1514">
        <v>7648876604</v>
      </c>
      <c r="D1514" s="2">
        <v>1</v>
      </c>
      <c r="E1514" t="str">
        <f>"4574674200724128"</f>
        <v>4574674200724128</v>
      </c>
      <c r="F1514" t="str">
        <f>"387"</f>
        <v>387</v>
      </c>
      <c r="G1514">
        <v>1</v>
      </c>
      <c r="H1514">
        <v>2023</v>
      </c>
      <c r="I1514" t="s">
        <v>1629</v>
      </c>
    </row>
    <row r="1515" spans="1:9" x14ac:dyDescent="0.3">
      <c r="A1515" t="s">
        <v>10131</v>
      </c>
      <c r="B1515" t="s">
        <v>23</v>
      </c>
      <c r="C1515">
        <v>7648876604</v>
      </c>
      <c r="D1515" s="2">
        <v>1</v>
      </c>
      <c r="E1515" t="str">
        <f>"4574674200724144"</f>
        <v>4574674200724144</v>
      </c>
      <c r="F1515" t="str">
        <f>"921"</f>
        <v>921</v>
      </c>
      <c r="G1515">
        <v>1</v>
      </c>
      <c r="H1515">
        <v>2023</v>
      </c>
      <c r="I1515" t="s">
        <v>1630</v>
      </c>
    </row>
    <row r="1516" spans="1:9" x14ac:dyDescent="0.3">
      <c r="A1516" t="s">
        <v>10131</v>
      </c>
      <c r="B1516" t="s">
        <v>23</v>
      </c>
      <c r="C1516">
        <v>7648876604</v>
      </c>
      <c r="D1516" s="2">
        <v>1</v>
      </c>
      <c r="E1516" t="str">
        <f>"4574674200724185"</f>
        <v>4574674200724185</v>
      </c>
      <c r="F1516" t="str">
        <f>"561"</f>
        <v>561</v>
      </c>
      <c r="G1516">
        <v>1</v>
      </c>
      <c r="H1516">
        <v>2023</v>
      </c>
      <c r="I1516" t="s">
        <v>1631</v>
      </c>
    </row>
    <row r="1517" spans="1:9" x14ac:dyDescent="0.3">
      <c r="A1517" t="s">
        <v>10131</v>
      </c>
      <c r="B1517" t="s">
        <v>23</v>
      </c>
      <c r="C1517">
        <v>7648876604</v>
      </c>
      <c r="D1517" s="2">
        <v>1</v>
      </c>
      <c r="E1517" t="str">
        <f>"4574674200724193"</f>
        <v>4574674200724193</v>
      </c>
      <c r="F1517" t="str">
        <f>"906"</f>
        <v>906</v>
      </c>
      <c r="G1517">
        <v>1</v>
      </c>
      <c r="H1517">
        <v>2023</v>
      </c>
      <c r="I1517" t="s">
        <v>1632</v>
      </c>
    </row>
    <row r="1518" spans="1:9" x14ac:dyDescent="0.3">
      <c r="A1518" t="s">
        <v>10131</v>
      </c>
      <c r="B1518" t="s">
        <v>23</v>
      </c>
      <c r="C1518">
        <v>7648876604</v>
      </c>
      <c r="D1518" s="2">
        <v>1</v>
      </c>
      <c r="E1518" t="str">
        <f>"4574674200724235"</f>
        <v>4574674200724235</v>
      </c>
      <c r="F1518" t="str">
        <f>"962"</f>
        <v>962</v>
      </c>
      <c r="G1518">
        <v>1</v>
      </c>
      <c r="H1518">
        <v>2023</v>
      </c>
      <c r="I1518" t="s">
        <v>1633</v>
      </c>
    </row>
    <row r="1519" spans="1:9" x14ac:dyDescent="0.3">
      <c r="A1519" t="s">
        <v>10131</v>
      </c>
      <c r="B1519" t="s">
        <v>23</v>
      </c>
      <c r="C1519">
        <v>7648876604</v>
      </c>
      <c r="D1519" s="2">
        <v>1</v>
      </c>
      <c r="E1519" t="str">
        <f>"4574674200724250"</f>
        <v>4574674200724250</v>
      </c>
      <c r="F1519" t="str">
        <f>"284"</f>
        <v>284</v>
      </c>
      <c r="G1519">
        <v>1</v>
      </c>
      <c r="H1519">
        <v>2023</v>
      </c>
      <c r="I1519" t="s">
        <v>1634</v>
      </c>
    </row>
    <row r="1520" spans="1:9" x14ac:dyDescent="0.3">
      <c r="A1520" t="s">
        <v>10131</v>
      </c>
      <c r="B1520" t="s">
        <v>23</v>
      </c>
      <c r="C1520">
        <v>7648876604</v>
      </c>
      <c r="D1520" s="2">
        <v>1</v>
      </c>
      <c r="E1520" t="str">
        <f>"4574674200724243"</f>
        <v>4574674200724243</v>
      </c>
      <c r="F1520" t="str">
        <f>"354"</f>
        <v>354</v>
      </c>
      <c r="G1520">
        <v>1</v>
      </c>
      <c r="H1520">
        <v>2023</v>
      </c>
      <c r="I1520" t="s">
        <v>1635</v>
      </c>
    </row>
    <row r="1521" spans="1:9" x14ac:dyDescent="0.3">
      <c r="A1521" t="s">
        <v>10132</v>
      </c>
      <c r="B1521" t="s">
        <v>24</v>
      </c>
      <c r="C1521">
        <v>7648876604</v>
      </c>
      <c r="D1521" s="2">
        <v>1</v>
      </c>
      <c r="E1521" t="str">
        <f>"4574674200724276"</f>
        <v>4574674200724276</v>
      </c>
      <c r="F1521" t="str">
        <f>"964"</f>
        <v>964</v>
      </c>
      <c r="G1521">
        <v>1</v>
      </c>
      <c r="H1521">
        <v>2023</v>
      </c>
      <c r="I1521" t="s">
        <v>1636</v>
      </c>
    </row>
    <row r="1522" spans="1:9" x14ac:dyDescent="0.3">
      <c r="A1522" t="s">
        <v>10132</v>
      </c>
      <c r="B1522" t="s">
        <v>24</v>
      </c>
      <c r="C1522">
        <v>7648876604</v>
      </c>
      <c r="D1522" s="2">
        <v>1</v>
      </c>
      <c r="E1522" t="str">
        <f>"4574674200724359"</f>
        <v>4574674200724359</v>
      </c>
      <c r="F1522" t="str">
        <f>"790"</f>
        <v>790</v>
      </c>
      <c r="G1522">
        <v>1</v>
      </c>
      <c r="H1522">
        <v>2023</v>
      </c>
      <c r="I1522" t="s">
        <v>1637</v>
      </c>
    </row>
    <row r="1523" spans="1:9" x14ac:dyDescent="0.3">
      <c r="A1523" t="s">
        <v>10132</v>
      </c>
      <c r="B1523" t="s">
        <v>24</v>
      </c>
      <c r="C1523">
        <v>7648876604</v>
      </c>
      <c r="D1523" s="2">
        <v>1</v>
      </c>
      <c r="E1523" t="str">
        <f>"4574674200724326"</f>
        <v>4574674200724326</v>
      </c>
      <c r="F1523" t="str">
        <f>"532"</f>
        <v>532</v>
      </c>
      <c r="G1523">
        <v>1</v>
      </c>
      <c r="H1523">
        <v>2023</v>
      </c>
      <c r="I1523" t="s">
        <v>1638</v>
      </c>
    </row>
    <row r="1524" spans="1:9" x14ac:dyDescent="0.3">
      <c r="A1524" t="s">
        <v>10132</v>
      </c>
      <c r="B1524" t="s">
        <v>24</v>
      </c>
      <c r="C1524">
        <v>7648876604</v>
      </c>
      <c r="D1524" s="2">
        <v>1</v>
      </c>
      <c r="E1524" t="str">
        <f>"4574674200724334"</f>
        <v>4574674200724334</v>
      </c>
      <c r="F1524" t="str">
        <f>"655"</f>
        <v>655</v>
      </c>
      <c r="G1524">
        <v>1</v>
      </c>
      <c r="H1524">
        <v>2023</v>
      </c>
      <c r="I1524" t="s">
        <v>1639</v>
      </c>
    </row>
    <row r="1525" spans="1:9" x14ac:dyDescent="0.3">
      <c r="A1525" t="s">
        <v>10132</v>
      </c>
      <c r="B1525" t="s">
        <v>24</v>
      </c>
      <c r="C1525">
        <v>7648876604</v>
      </c>
      <c r="D1525" s="2">
        <v>1</v>
      </c>
      <c r="E1525" t="str">
        <f>"4574674200724466"</f>
        <v>4574674200724466</v>
      </c>
      <c r="F1525" t="str">
        <f>"711"</f>
        <v>711</v>
      </c>
      <c r="G1525">
        <v>1</v>
      </c>
      <c r="H1525">
        <v>2023</v>
      </c>
      <c r="I1525" t="s">
        <v>1640</v>
      </c>
    </row>
    <row r="1526" spans="1:9" x14ac:dyDescent="0.3">
      <c r="A1526" t="s">
        <v>10132</v>
      </c>
      <c r="B1526" t="s">
        <v>24</v>
      </c>
      <c r="C1526">
        <v>7648876604</v>
      </c>
      <c r="D1526" s="2">
        <v>1</v>
      </c>
      <c r="E1526" t="str">
        <f>"4574674200724367"</f>
        <v>4574674200724367</v>
      </c>
      <c r="F1526" t="str">
        <f>"119"</f>
        <v>119</v>
      </c>
      <c r="G1526">
        <v>1</v>
      </c>
      <c r="H1526">
        <v>2023</v>
      </c>
      <c r="I1526" t="s">
        <v>1641</v>
      </c>
    </row>
    <row r="1527" spans="1:9" x14ac:dyDescent="0.3">
      <c r="A1527" t="s">
        <v>10132</v>
      </c>
      <c r="B1527" t="s">
        <v>24</v>
      </c>
      <c r="C1527">
        <v>7648876604</v>
      </c>
      <c r="D1527" s="2">
        <v>1</v>
      </c>
      <c r="E1527" t="str">
        <f>"4574674200724391"</f>
        <v>4574674200724391</v>
      </c>
      <c r="F1527" t="str">
        <f>"631"</f>
        <v>631</v>
      </c>
      <c r="G1527">
        <v>1</v>
      </c>
      <c r="H1527">
        <v>2023</v>
      </c>
      <c r="I1527" t="s">
        <v>1642</v>
      </c>
    </row>
    <row r="1528" spans="1:9" x14ac:dyDescent="0.3">
      <c r="A1528" t="s">
        <v>10132</v>
      </c>
      <c r="B1528" t="s">
        <v>24</v>
      </c>
      <c r="C1528">
        <v>7648876604</v>
      </c>
      <c r="D1528" s="2">
        <v>1</v>
      </c>
      <c r="E1528" t="str">
        <f>"4574674200724623"</f>
        <v>4574674200724623</v>
      </c>
      <c r="F1528" t="str">
        <f>"232"</f>
        <v>232</v>
      </c>
      <c r="G1528">
        <v>1</v>
      </c>
      <c r="H1528">
        <v>2023</v>
      </c>
      <c r="I1528" t="s">
        <v>1643</v>
      </c>
    </row>
    <row r="1529" spans="1:9" x14ac:dyDescent="0.3">
      <c r="A1529" t="s">
        <v>10132</v>
      </c>
      <c r="B1529" t="s">
        <v>24</v>
      </c>
      <c r="C1529">
        <v>7648876604</v>
      </c>
      <c r="D1529" s="2">
        <v>1</v>
      </c>
      <c r="E1529" t="str">
        <f>"4574674200724615"</f>
        <v>4574674200724615</v>
      </c>
      <c r="F1529" t="str">
        <f>"009"</f>
        <v>009</v>
      </c>
      <c r="G1529">
        <v>1</v>
      </c>
      <c r="H1529">
        <v>2023</v>
      </c>
      <c r="I1529" t="s">
        <v>1644</v>
      </c>
    </row>
    <row r="1530" spans="1:9" x14ac:dyDescent="0.3">
      <c r="A1530" t="s">
        <v>10132</v>
      </c>
      <c r="B1530" t="s">
        <v>24</v>
      </c>
      <c r="C1530">
        <v>7648876604</v>
      </c>
      <c r="D1530" s="2">
        <v>1</v>
      </c>
      <c r="E1530" t="str">
        <f>"4574674200724649"</f>
        <v>4574674200724649</v>
      </c>
      <c r="F1530" t="str">
        <f>"377"</f>
        <v>377</v>
      </c>
      <c r="G1530">
        <v>1</v>
      </c>
      <c r="H1530">
        <v>2023</v>
      </c>
      <c r="I1530" t="s">
        <v>1645</v>
      </c>
    </row>
    <row r="1531" spans="1:9" x14ac:dyDescent="0.3">
      <c r="A1531" t="s">
        <v>10133</v>
      </c>
      <c r="B1531" t="s">
        <v>25</v>
      </c>
      <c r="C1531">
        <v>7648876604</v>
      </c>
      <c r="D1531" s="2">
        <v>1</v>
      </c>
      <c r="E1531" t="str">
        <f>"4574674200724664"</f>
        <v>4574674200724664</v>
      </c>
      <c r="F1531" t="str">
        <f>"894"</f>
        <v>894</v>
      </c>
      <c r="G1531">
        <v>1</v>
      </c>
      <c r="H1531">
        <v>2023</v>
      </c>
      <c r="I1531" t="s">
        <v>1646</v>
      </c>
    </row>
    <row r="1532" spans="1:9" x14ac:dyDescent="0.3">
      <c r="A1532" t="s">
        <v>10133</v>
      </c>
      <c r="B1532" t="s">
        <v>25</v>
      </c>
      <c r="C1532">
        <v>7648876604</v>
      </c>
      <c r="D1532" s="2">
        <v>1</v>
      </c>
      <c r="E1532" t="str">
        <f>"4574674200724813"</f>
        <v>4574674200724813</v>
      </c>
      <c r="F1532" t="str">
        <f>"345"</f>
        <v>345</v>
      </c>
      <c r="G1532">
        <v>1</v>
      </c>
      <c r="H1532">
        <v>2023</v>
      </c>
      <c r="I1532" t="s">
        <v>1647</v>
      </c>
    </row>
    <row r="1533" spans="1:9" x14ac:dyDescent="0.3">
      <c r="A1533" t="s">
        <v>10133</v>
      </c>
      <c r="B1533" t="s">
        <v>25</v>
      </c>
      <c r="C1533">
        <v>7648876604</v>
      </c>
      <c r="D1533" s="2">
        <v>1</v>
      </c>
      <c r="E1533" t="str">
        <f>"4574674200724680"</f>
        <v>4574674200724680</v>
      </c>
      <c r="F1533" t="str">
        <f>"960"</f>
        <v>960</v>
      </c>
      <c r="G1533">
        <v>1</v>
      </c>
      <c r="H1533">
        <v>2023</v>
      </c>
      <c r="I1533" t="s">
        <v>1648</v>
      </c>
    </row>
    <row r="1534" spans="1:9" x14ac:dyDescent="0.3">
      <c r="A1534" t="s">
        <v>10133</v>
      </c>
      <c r="B1534" t="s">
        <v>25</v>
      </c>
      <c r="C1534">
        <v>7648876604</v>
      </c>
      <c r="D1534" s="2">
        <v>1</v>
      </c>
      <c r="E1534" t="str">
        <f>"4574674200724698"</f>
        <v>4574674200724698</v>
      </c>
      <c r="F1534" t="str">
        <f>"371"</f>
        <v>371</v>
      </c>
      <c r="G1534">
        <v>1</v>
      </c>
      <c r="H1534">
        <v>2023</v>
      </c>
      <c r="I1534" t="s">
        <v>1649</v>
      </c>
    </row>
    <row r="1535" spans="1:9" x14ac:dyDescent="0.3">
      <c r="A1535" t="s">
        <v>10133</v>
      </c>
      <c r="B1535" t="s">
        <v>25</v>
      </c>
      <c r="C1535">
        <v>7648876604</v>
      </c>
      <c r="D1535" s="2">
        <v>1</v>
      </c>
      <c r="E1535" t="str">
        <f>"4574674200724722"</f>
        <v>4574674200724722</v>
      </c>
      <c r="F1535" t="str">
        <f>"824"</f>
        <v>824</v>
      </c>
      <c r="G1535">
        <v>1</v>
      </c>
      <c r="H1535">
        <v>2023</v>
      </c>
      <c r="I1535" t="s">
        <v>1650</v>
      </c>
    </row>
    <row r="1536" spans="1:9" x14ac:dyDescent="0.3">
      <c r="A1536" t="s">
        <v>10133</v>
      </c>
      <c r="B1536" t="s">
        <v>25</v>
      </c>
      <c r="C1536">
        <v>7648876604</v>
      </c>
      <c r="D1536" s="2">
        <v>1</v>
      </c>
      <c r="E1536" t="str">
        <f>"4574674200724714"</f>
        <v>4574674200724714</v>
      </c>
      <c r="F1536" t="str">
        <f>"402"</f>
        <v>402</v>
      </c>
      <c r="G1536">
        <v>1</v>
      </c>
      <c r="H1536">
        <v>2023</v>
      </c>
      <c r="I1536" t="s">
        <v>1651</v>
      </c>
    </row>
    <row r="1537" spans="1:9" x14ac:dyDescent="0.3">
      <c r="A1537" t="s">
        <v>10133</v>
      </c>
      <c r="B1537" t="s">
        <v>25</v>
      </c>
      <c r="C1537">
        <v>7648876604</v>
      </c>
      <c r="D1537" s="2">
        <v>1</v>
      </c>
      <c r="E1537" t="str">
        <f>"4574674200724755"</f>
        <v>4574674200724755</v>
      </c>
      <c r="F1537" t="str">
        <f>"798"</f>
        <v>798</v>
      </c>
      <c r="G1537">
        <v>1</v>
      </c>
      <c r="H1537">
        <v>2023</v>
      </c>
      <c r="I1537" t="s">
        <v>1652</v>
      </c>
    </row>
    <row r="1538" spans="1:9" x14ac:dyDescent="0.3">
      <c r="A1538" t="s">
        <v>10133</v>
      </c>
      <c r="B1538" t="s">
        <v>25</v>
      </c>
      <c r="C1538">
        <v>7648876604</v>
      </c>
      <c r="D1538" s="2">
        <v>1</v>
      </c>
      <c r="E1538" t="str">
        <f>"4574674200724763"</f>
        <v>4574674200724763</v>
      </c>
      <c r="F1538" t="str">
        <f>"837"</f>
        <v>837</v>
      </c>
      <c r="G1538">
        <v>1</v>
      </c>
      <c r="H1538">
        <v>2023</v>
      </c>
      <c r="I1538" t="s">
        <v>1653</v>
      </c>
    </row>
    <row r="1539" spans="1:9" x14ac:dyDescent="0.3">
      <c r="A1539" t="s">
        <v>10133</v>
      </c>
      <c r="B1539" t="s">
        <v>25</v>
      </c>
      <c r="C1539">
        <v>7648876604</v>
      </c>
      <c r="D1539" s="2">
        <v>1</v>
      </c>
      <c r="E1539" t="str">
        <f>"4574674200724979"</f>
        <v>4574674200724979</v>
      </c>
      <c r="F1539" t="str">
        <f>"236"</f>
        <v>236</v>
      </c>
      <c r="G1539">
        <v>1</v>
      </c>
      <c r="H1539">
        <v>2023</v>
      </c>
      <c r="I1539" t="s">
        <v>1654</v>
      </c>
    </row>
    <row r="1540" spans="1:9" x14ac:dyDescent="0.3">
      <c r="A1540" t="s">
        <v>10133</v>
      </c>
      <c r="B1540" t="s">
        <v>25</v>
      </c>
      <c r="C1540">
        <v>7648876604</v>
      </c>
      <c r="D1540" s="2">
        <v>1</v>
      </c>
      <c r="E1540" t="str">
        <f>"4574674200725224"</f>
        <v>4574674200725224</v>
      </c>
      <c r="F1540" t="str">
        <f>"130"</f>
        <v>130</v>
      </c>
      <c r="G1540">
        <v>1</v>
      </c>
      <c r="H1540">
        <v>2023</v>
      </c>
      <c r="I1540" t="s">
        <v>1655</v>
      </c>
    </row>
    <row r="1541" spans="1:9" x14ac:dyDescent="0.3">
      <c r="A1541" t="s">
        <v>10134</v>
      </c>
      <c r="B1541" t="s">
        <v>26</v>
      </c>
      <c r="C1541">
        <v>7648876604</v>
      </c>
      <c r="D1541" s="2">
        <v>1</v>
      </c>
      <c r="E1541" t="str">
        <f>"4574674200725208"</f>
        <v>4574674200725208</v>
      </c>
      <c r="F1541" t="str">
        <f>"238"</f>
        <v>238</v>
      </c>
      <c r="G1541">
        <v>1</v>
      </c>
      <c r="H1541">
        <v>2023</v>
      </c>
      <c r="I1541" t="s">
        <v>1656</v>
      </c>
    </row>
    <row r="1542" spans="1:9" x14ac:dyDescent="0.3">
      <c r="A1542" t="s">
        <v>10134</v>
      </c>
      <c r="B1542" t="s">
        <v>26</v>
      </c>
      <c r="C1542">
        <v>7648876604</v>
      </c>
      <c r="D1542" s="2">
        <v>1</v>
      </c>
      <c r="E1542" t="str">
        <f>"4574674200725232"</f>
        <v>4574674200725232</v>
      </c>
      <c r="F1542" t="str">
        <f>"112"</f>
        <v>112</v>
      </c>
      <c r="G1542">
        <v>1</v>
      </c>
      <c r="H1542">
        <v>2023</v>
      </c>
      <c r="I1542" t="s">
        <v>1657</v>
      </c>
    </row>
    <row r="1543" spans="1:9" x14ac:dyDescent="0.3">
      <c r="A1543" t="s">
        <v>10134</v>
      </c>
      <c r="B1543" t="s">
        <v>26</v>
      </c>
      <c r="C1543">
        <v>7648876604</v>
      </c>
      <c r="D1543" s="2">
        <v>1</v>
      </c>
      <c r="E1543" t="str">
        <f>"4574674200725240"</f>
        <v>4574674200725240</v>
      </c>
      <c r="F1543" t="str">
        <f>"819"</f>
        <v>819</v>
      </c>
      <c r="G1543">
        <v>1</v>
      </c>
      <c r="H1543">
        <v>2023</v>
      </c>
      <c r="I1543" t="s">
        <v>1658</v>
      </c>
    </row>
    <row r="1544" spans="1:9" x14ac:dyDescent="0.3">
      <c r="A1544" t="s">
        <v>10134</v>
      </c>
      <c r="B1544" t="s">
        <v>26</v>
      </c>
      <c r="C1544">
        <v>7648876604</v>
      </c>
      <c r="D1544" s="2">
        <v>1</v>
      </c>
      <c r="E1544" t="str">
        <f>"4574674200725109"</f>
        <v>4574674200725109</v>
      </c>
      <c r="F1544" t="str">
        <f>"420"</f>
        <v>420</v>
      </c>
      <c r="G1544">
        <v>1</v>
      </c>
      <c r="H1544">
        <v>2023</v>
      </c>
      <c r="I1544" t="s">
        <v>1659</v>
      </c>
    </row>
    <row r="1545" spans="1:9" x14ac:dyDescent="0.3">
      <c r="A1545" t="s">
        <v>10134</v>
      </c>
      <c r="B1545" t="s">
        <v>26</v>
      </c>
      <c r="C1545">
        <v>7648876604</v>
      </c>
      <c r="D1545" s="2">
        <v>1</v>
      </c>
      <c r="E1545" t="str">
        <f>"4574674200725273"</f>
        <v>4574674200725273</v>
      </c>
      <c r="F1545" t="str">
        <f>"536"</f>
        <v>536</v>
      </c>
      <c r="G1545">
        <v>1</v>
      </c>
      <c r="H1545">
        <v>2023</v>
      </c>
      <c r="I1545" t="s">
        <v>1660</v>
      </c>
    </row>
    <row r="1546" spans="1:9" x14ac:dyDescent="0.3">
      <c r="A1546" t="s">
        <v>10134</v>
      </c>
      <c r="B1546" t="s">
        <v>26</v>
      </c>
      <c r="C1546">
        <v>7648876604</v>
      </c>
      <c r="D1546" s="2">
        <v>1</v>
      </c>
      <c r="E1546" t="str">
        <f>"4574674200725281"</f>
        <v>4574674200725281</v>
      </c>
      <c r="F1546" t="str">
        <f>"540"</f>
        <v>540</v>
      </c>
      <c r="G1546">
        <v>1</v>
      </c>
      <c r="H1546">
        <v>2023</v>
      </c>
      <c r="I1546" t="s">
        <v>1661</v>
      </c>
    </row>
    <row r="1547" spans="1:9" x14ac:dyDescent="0.3">
      <c r="A1547" t="s">
        <v>10134</v>
      </c>
      <c r="B1547" t="s">
        <v>26</v>
      </c>
      <c r="C1547">
        <v>7648876604</v>
      </c>
      <c r="D1547" s="2">
        <v>1</v>
      </c>
      <c r="E1547" t="str">
        <f>"4574674200725323"</f>
        <v>4574674200725323</v>
      </c>
      <c r="F1547" t="str">
        <f>"747"</f>
        <v>747</v>
      </c>
      <c r="G1547">
        <v>1</v>
      </c>
      <c r="H1547">
        <v>2023</v>
      </c>
      <c r="I1547" t="s">
        <v>1662</v>
      </c>
    </row>
    <row r="1548" spans="1:9" x14ac:dyDescent="0.3">
      <c r="A1548" t="s">
        <v>10134</v>
      </c>
      <c r="B1548" t="s">
        <v>26</v>
      </c>
      <c r="C1548">
        <v>7648876604</v>
      </c>
      <c r="D1548" s="2">
        <v>1</v>
      </c>
      <c r="E1548" t="str">
        <f>"4574674200725331"</f>
        <v>4574674200725331</v>
      </c>
      <c r="F1548" t="str">
        <f>"986"</f>
        <v>986</v>
      </c>
      <c r="G1548">
        <v>1</v>
      </c>
      <c r="H1548">
        <v>2023</v>
      </c>
      <c r="I1548" t="s">
        <v>1663</v>
      </c>
    </row>
    <row r="1549" spans="1:9" x14ac:dyDescent="0.3">
      <c r="A1549" t="s">
        <v>10134</v>
      </c>
      <c r="B1549" t="s">
        <v>26</v>
      </c>
      <c r="C1549">
        <v>7648876604</v>
      </c>
      <c r="D1549" s="2">
        <v>1</v>
      </c>
      <c r="E1549" t="str">
        <f>"4574674200725349"</f>
        <v>4574674200725349</v>
      </c>
      <c r="F1549" t="str">
        <f>"162"</f>
        <v>162</v>
      </c>
      <c r="G1549">
        <v>1</v>
      </c>
      <c r="H1549">
        <v>2023</v>
      </c>
      <c r="I1549" t="s">
        <v>1664</v>
      </c>
    </row>
    <row r="1550" spans="1:9" x14ac:dyDescent="0.3">
      <c r="A1550" t="s">
        <v>10134</v>
      </c>
      <c r="B1550" t="s">
        <v>26</v>
      </c>
      <c r="C1550">
        <v>7648876604</v>
      </c>
      <c r="D1550" s="2">
        <v>1</v>
      </c>
      <c r="E1550" t="str">
        <f>"4574674200725489"</f>
        <v>4574674200725489</v>
      </c>
      <c r="F1550" t="str">
        <f>"598"</f>
        <v>598</v>
      </c>
      <c r="G1550">
        <v>1</v>
      </c>
      <c r="H1550">
        <v>2023</v>
      </c>
      <c r="I1550" t="s">
        <v>1665</v>
      </c>
    </row>
    <row r="1551" spans="1:9" x14ac:dyDescent="0.3">
      <c r="A1551" t="s">
        <v>10135</v>
      </c>
      <c r="B1551" t="s">
        <v>27</v>
      </c>
      <c r="C1551">
        <v>7648876604</v>
      </c>
      <c r="D1551" s="2">
        <v>1</v>
      </c>
      <c r="E1551" t="str">
        <f>"4574674200725356"</f>
        <v>4574674200725356</v>
      </c>
      <c r="F1551" t="str">
        <f>"524"</f>
        <v>524</v>
      </c>
      <c r="G1551">
        <v>1</v>
      </c>
      <c r="H1551">
        <v>2023</v>
      </c>
      <c r="I1551" t="s">
        <v>1666</v>
      </c>
    </row>
    <row r="1552" spans="1:9" x14ac:dyDescent="0.3">
      <c r="A1552" t="s">
        <v>10135</v>
      </c>
      <c r="B1552" t="s">
        <v>27</v>
      </c>
      <c r="C1552">
        <v>7648876604</v>
      </c>
      <c r="D1552" s="2">
        <v>1</v>
      </c>
      <c r="E1552" t="str">
        <f>"4574674200725372"</f>
        <v>4574674200725372</v>
      </c>
      <c r="F1552" t="str">
        <f>"097"</f>
        <v>097</v>
      </c>
      <c r="G1552">
        <v>1</v>
      </c>
      <c r="H1552">
        <v>2023</v>
      </c>
      <c r="I1552" t="s">
        <v>1667</v>
      </c>
    </row>
    <row r="1553" spans="1:9" x14ac:dyDescent="0.3">
      <c r="A1553" t="s">
        <v>10135</v>
      </c>
      <c r="B1553" t="s">
        <v>27</v>
      </c>
      <c r="C1553">
        <v>7648876604</v>
      </c>
      <c r="D1553" s="2">
        <v>1</v>
      </c>
      <c r="E1553" t="str">
        <f>"4574674200725398"</f>
        <v>4574674200725398</v>
      </c>
      <c r="F1553" t="str">
        <f>"260"</f>
        <v>260</v>
      </c>
      <c r="G1553">
        <v>1</v>
      </c>
      <c r="H1553">
        <v>2023</v>
      </c>
      <c r="I1553" t="s">
        <v>1668</v>
      </c>
    </row>
    <row r="1554" spans="1:9" x14ac:dyDescent="0.3">
      <c r="A1554" t="s">
        <v>10135</v>
      </c>
      <c r="B1554" t="s">
        <v>27</v>
      </c>
      <c r="C1554">
        <v>7648876604</v>
      </c>
      <c r="D1554" s="2">
        <v>1</v>
      </c>
      <c r="E1554" t="str">
        <f>"4574674200725638"</f>
        <v>4574674200725638</v>
      </c>
      <c r="F1554" t="str">
        <f>"109"</f>
        <v>109</v>
      </c>
      <c r="G1554">
        <v>1</v>
      </c>
      <c r="H1554">
        <v>2023</v>
      </c>
      <c r="I1554" t="s">
        <v>1669</v>
      </c>
    </row>
    <row r="1555" spans="1:9" x14ac:dyDescent="0.3">
      <c r="A1555" t="s">
        <v>10135</v>
      </c>
      <c r="B1555" t="s">
        <v>27</v>
      </c>
      <c r="C1555">
        <v>7648876604</v>
      </c>
      <c r="D1555" s="2">
        <v>1</v>
      </c>
      <c r="E1555" t="str">
        <f>"4574674200725646"</f>
        <v>4574674200725646</v>
      </c>
      <c r="F1555" t="str">
        <f>"372"</f>
        <v>372</v>
      </c>
      <c r="G1555">
        <v>1</v>
      </c>
      <c r="H1555">
        <v>2023</v>
      </c>
      <c r="I1555" t="s">
        <v>1670</v>
      </c>
    </row>
    <row r="1556" spans="1:9" x14ac:dyDescent="0.3">
      <c r="A1556" t="s">
        <v>10135</v>
      </c>
      <c r="B1556" t="s">
        <v>27</v>
      </c>
      <c r="C1556">
        <v>7648876604</v>
      </c>
      <c r="D1556" s="2">
        <v>1</v>
      </c>
      <c r="E1556" t="str">
        <f>"4574674200725851"</f>
        <v>4574674200725851</v>
      </c>
      <c r="F1556" t="str">
        <f>"761"</f>
        <v>761</v>
      </c>
      <c r="G1556">
        <v>1</v>
      </c>
      <c r="H1556">
        <v>2023</v>
      </c>
      <c r="I1556" t="s">
        <v>1671</v>
      </c>
    </row>
    <row r="1557" spans="1:9" x14ac:dyDescent="0.3">
      <c r="A1557" t="s">
        <v>10135</v>
      </c>
      <c r="B1557" t="s">
        <v>27</v>
      </c>
      <c r="C1557">
        <v>7648876604</v>
      </c>
      <c r="D1557" s="2">
        <v>1</v>
      </c>
      <c r="E1557" t="str">
        <f>"4574674200725661"</f>
        <v>4574674200725661</v>
      </c>
      <c r="F1557" t="str">
        <f>"307"</f>
        <v>307</v>
      </c>
      <c r="G1557">
        <v>1</v>
      </c>
      <c r="H1557">
        <v>2023</v>
      </c>
      <c r="I1557" t="s">
        <v>1672</v>
      </c>
    </row>
    <row r="1558" spans="1:9" x14ac:dyDescent="0.3">
      <c r="A1558" t="s">
        <v>10135</v>
      </c>
      <c r="B1558" t="s">
        <v>27</v>
      </c>
      <c r="C1558">
        <v>7648876604</v>
      </c>
      <c r="D1558" s="2">
        <v>1</v>
      </c>
      <c r="E1558" t="str">
        <f>"4574674200725687"</f>
        <v>4574674200725687</v>
      </c>
      <c r="F1558" t="str">
        <f>"838"</f>
        <v>838</v>
      </c>
      <c r="G1558">
        <v>1</v>
      </c>
      <c r="H1558">
        <v>2023</v>
      </c>
      <c r="I1558" t="s">
        <v>1673</v>
      </c>
    </row>
    <row r="1559" spans="1:9" x14ac:dyDescent="0.3">
      <c r="A1559" t="s">
        <v>10135</v>
      </c>
      <c r="B1559" t="s">
        <v>27</v>
      </c>
      <c r="C1559">
        <v>7648876604</v>
      </c>
      <c r="D1559" s="2">
        <v>1</v>
      </c>
      <c r="E1559" t="str">
        <f>"4574674200725679"</f>
        <v>4574674200725679</v>
      </c>
      <c r="F1559" t="str">
        <f>"452"</f>
        <v>452</v>
      </c>
      <c r="G1559">
        <v>1</v>
      </c>
      <c r="H1559">
        <v>2023</v>
      </c>
      <c r="I1559" t="s">
        <v>1674</v>
      </c>
    </row>
    <row r="1560" spans="1:9" x14ac:dyDescent="0.3">
      <c r="A1560" t="s">
        <v>10135</v>
      </c>
      <c r="B1560" t="s">
        <v>27</v>
      </c>
      <c r="C1560">
        <v>7648876604</v>
      </c>
      <c r="D1560" s="2">
        <v>1</v>
      </c>
      <c r="E1560" t="str">
        <f>"4574674200725703"</f>
        <v>4574674200725703</v>
      </c>
      <c r="F1560" t="str">
        <f>"665"</f>
        <v>665</v>
      </c>
      <c r="G1560">
        <v>1</v>
      </c>
      <c r="H1560">
        <v>2023</v>
      </c>
      <c r="I1560" t="s">
        <v>1675</v>
      </c>
    </row>
    <row r="1561" spans="1:9" x14ac:dyDescent="0.3">
      <c r="A1561" t="s">
        <v>10136</v>
      </c>
      <c r="B1561" t="s">
        <v>28</v>
      </c>
      <c r="C1561">
        <v>7648876604</v>
      </c>
      <c r="D1561" s="2">
        <v>1</v>
      </c>
      <c r="E1561" t="str">
        <f>"4574674200725711"</f>
        <v>4574674200725711</v>
      </c>
      <c r="F1561" t="str">
        <f>"808"</f>
        <v>808</v>
      </c>
      <c r="G1561">
        <v>1</v>
      </c>
      <c r="H1561">
        <v>2023</v>
      </c>
      <c r="I1561" t="s">
        <v>1676</v>
      </c>
    </row>
    <row r="1562" spans="1:9" x14ac:dyDescent="0.3">
      <c r="A1562" t="s">
        <v>10136</v>
      </c>
      <c r="B1562" t="s">
        <v>28</v>
      </c>
      <c r="C1562">
        <v>7648876604</v>
      </c>
      <c r="D1562" s="2">
        <v>1</v>
      </c>
      <c r="E1562" t="str">
        <f>"4574674200725729"</f>
        <v>4574674200725729</v>
      </c>
      <c r="F1562" t="str">
        <f>"598"</f>
        <v>598</v>
      </c>
      <c r="G1562">
        <v>1</v>
      </c>
      <c r="H1562">
        <v>2023</v>
      </c>
      <c r="I1562" t="s">
        <v>1677</v>
      </c>
    </row>
    <row r="1563" spans="1:9" x14ac:dyDescent="0.3">
      <c r="A1563" t="s">
        <v>10136</v>
      </c>
      <c r="B1563" t="s">
        <v>28</v>
      </c>
      <c r="C1563">
        <v>7648876604</v>
      </c>
      <c r="D1563" s="2">
        <v>1</v>
      </c>
      <c r="E1563" t="str">
        <f>"4574674200726040"</f>
        <v>4574674200726040</v>
      </c>
      <c r="F1563" t="str">
        <f>"345"</f>
        <v>345</v>
      </c>
      <c r="G1563">
        <v>1</v>
      </c>
      <c r="H1563">
        <v>2023</v>
      </c>
      <c r="I1563" t="s">
        <v>1678</v>
      </c>
    </row>
    <row r="1564" spans="1:9" x14ac:dyDescent="0.3">
      <c r="A1564" t="s">
        <v>10136</v>
      </c>
      <c r="B1564" t="s">
        <v>28</v>
      </c>
      <c r="C1564">
        <v>7648876604</v>
      </c>
      <c r="D1564" s="2">
        <v>1</v>
      </c>
      <c r="E1564" t="str">
        <f>"4574674200725786"</f>
        <v>4574674200725786</v>
      </c>
      <c r="F1564" t="str">
        <f>"405"</f>
        <v>405</v>
      </c>
      <c r="G1564">
        <v>1</v>
      </c>
      <c r="H1564">
        <v>2023</v>
      </c>
      <c r="I1564" t="s">
        <v>1679</v>
      </c>
    </row>
    <row r="1565" spans="1:9" x14ac:dyDescent="0.3">
      <c r="A1565" t="s">
        <v>10136</v>
      </c>
      <c r="B1565" t="s">
        <v>28</v>
      </c>
      <c r="C1565">
        <v>7648876604</v>
      </c>
      <c r="D1565" s="2">
        <v>1</v>
      </c>
      <c r="E1565" t="str">
        <f>"4574674200725794"</f>
        <v>4574674200725794</v>
      </c>
      <c r="F1565" t="str">
        <f>"472"</f>
        <v>472</v>
      </c>
      <c r="G1565">
        <v>1</v>
      </c>
      <c r="H1565">
        <v>2023</v>
      </c>
      <c r="I1565" t="s">
        <v>1680</v>
      </c>
    </row>
    <row r="1566" spans="1:9" x14ac:dyDescent="0.3">
      <c r="A1566" t="s">
        <v>10136</v>
      </c>
      <c r="B1566" t="s">
        <v>28</v>
      </c>
      <c r="C1566">
        <v>7648876604</v>
      </c>
      <c r="D1566" s="2">
        <v>1</v>
      </c>
      <c r="E1566" t="str">
        <f>"4574674200726214"</f>
        <v>4574674200726214</v>
      </c>
      <c r="F1566" t="str">
        <f>"506"</f>
        <v>506</v>
      </c>
      <c r="G1566">
        <v>1</v>
      </c>
      <c r="H1566">
        <v>2023</v>
      </c>
      <c r="I1566" t="s">
        <v>1681</v>
      </c>
    </row>
    <row r="1567" spans="1:9" x14ac:dyDescent="0.3">
      <c r="A1567" t="s">
        <v>10136</v>
      </c>
      <c r="B1567" t="s">
        <v>28</v>
      </c>
      <c r="C1567">
        <v>7648876604</v>
      </c>
      <c r="D1567" s="2">
        <v>1</v>
      </c>
      <c r="E1567" t="str">
        <f>"4574674200726206"</f>
        <v>4574674200726206</v>
      </c>
      <c r="F1567" t="str">
        <f>"885"</f>
        <v>885</v>
      </c>
      <c r="G1567">
        <v>1</v>
      </c>
      <c r="H1567">
        <v>2023</v>
      </c>
      <c r="I1567" t="s">
        <v>1682</v>
      </c>
    </row>
    <row r="1568" spans="1:9" x14ac:dyDescent="0.3">
      <c r="A1568" t="s">
        <v>10136</v>
      </c>
      <c r="B1568" t="s">
        <v>28</v>
      </c>
      <c r="C1568">
        <v>7648876604</v>
      </c>
      <c r="D1568" s="2">
        <v>1</v>
      </c>
      <c r="E1568" t="str">
        <f>"4574674200726222"</f>
        <v>4574674200726222</v>
      </c>
      <c r="F1568" t="str">
        <f>"869"</f>
        <v>869</v>
      </c>
      <c r="G1568">
        <v>1</v>
      </c>
      <c r="H1568">
        <v>2023</v>
      </c>
      <c r="I1568" t="s">
        <v>1683</v>
      </c>
    </row>
    <row r="1569" spans="1:9" x14ac:dyDescent="0.3">
      <c r="A1569" t="s">
        <v>10136</v>
      </c>
      <c r="B1569" t="s">
        <v>28</v>
      </c>
      <c r="C1569">
        <v>7648876604</v>
      </c>
      <c r="D1569" s="2">
        <v>1</v>
      </c>
      <c r="E1569" t="str">
        <f>"4574674200726230"</f>
        <v>4574674200726230</v>
      </c>
      <c r="F1569" t="str">
        <f>"729"</f>
        <v>729</v>
      </c>
      <c r="G1569">
        <v>1</v>
      </c>
      <c r="H1569">
        <v>2023</v>
      </c>
      <c r="I1569" t="s">
        <v>1684</v>
      </c>
    </row>
    <row r="1570" spans="1:9" x14ac:dyDescent="0.3">
      <c r="A1570" t="s">
        <v>10136</v>
      </c>
      <c r="B1570" t="s">
        <v>28</v>
      </c>
      <c r="C1570">
        <v>7648876604</v>
      </c>
      <c r="D1570" s="2">
        <v>1</v>
      </c>
      <c r="E1570" t="str">
        <f>"4574674200726198"</f>
        <v>4574674200726198</v>
      </c>
      <c r="F1570" t="str">
        <f>"545"</f>
        <v>545</v>
      </c>
      <c r="G1570">
        <v>1</v>
      </c>
      <c r="H1570">
        <v>2023</v>
      </c>
      <c r="I1570" t="s">
        <v>1685</v>
      </c>
    </row>
    <row r="1571" spans="1:9" x14ac:dyDescent="0.3">
      <c r="A1571" t="s">
        <v>10137</v>
      </c>
      <c r="B1571" t="s">
        <v>29</v>
      </c>
      <c r="C1571">
        <v>7648876604</v>
      </c>
      <c r="D1571" s="2">
        <v>1</v>
      </c>
      <c r="E1571" t="str">
        <f>"4574674200726305"</f>
        <v>4574674200726305</v>
      </c>
      <c r="F1571" t="str">
        <f>"769"</f>
        <v>769</v>
      </c>
      <c r="G1571">
        <v>1</v>
      </c>
      <c r="H1571">
        <v>2023</v>
      </c>
      <c r="I1571" t="s">
        <v>1686</v>
      </c>
    </row>
    <row r="1572" spans="1:9" x14ac:dyDescent="0.3">
      <c r="A1572" t="s">
        <v>10137</v>
      </c>
      <c r="B1572" t="s">
        <v>29</v>
      </c>
      <c r="C1572">
        <v>7648876604</v>
      </c>
      <c r="D1572" s="2">
        <v>1</v>
      </c>
      <c r="E1572" t="str">
        <f>"4574674200726313"</f>
        <v>4574674200726313</v>
      </c>
      <c r="F1572" t="str">
        <f>"702"</f>
        <v>702</v>
      </c>
      <c r="G1572">
        <v>1</v>
      </c>
      <c r="H1572">
        <v>2023</v>
      </c>
      <c r="I1572" t="s">
        <v>1687</v>
      </c>
    </row>
    <row r="1573" spans="1:9" x14ac:dyDescent="0.3">
      <c r="A1573" t="s">
        <v>10137</v>
      </c>
      <c r="B1573" t="s">
        <v>29</v>
      </c>
      <c r="C1573">
        <v>7648876604</v>
      </c>
      <c r="D1573" s="2">
        <v>1</v>
      </c>
      <c r="E1573" t="str">
        <f>"4574674200726321"</f>
        <v>4574674200726321</v>
      </c>
      <c r="F1573" t="str">
        <f>"904"</f>
        <v>904</v>
      </c>
      <c r="G1573">
        <v>1</v>
      </c>
      <c r="H1573">
        <v>2023</v>
      </c>
      <c r="I1573" t="s">
        <v>1688</v>
      </c>
    </row>
    <row r="1574" spans="1:9" x14ac:dyDescent="0.3">
      <c r="A1574" t="s">
        <v>10137</v>
      </c>
      <c r="B1574" t="s">
        <v>29</v>
      </c>
      <c r="C1574">
        <v>7648876604</v>
      </c>
      <c r="D1574" s="2">
        <v>1</v>
      </c>
      <c r="E1574" t="str">
        <f>"4574674200726347"</f>
        <v>4574674200726347</v>
      </c>
      <c r="F1574" t="str">
        <f>"099"</f>
        <v>099</v>
      </c>
      <c r="G1574">
        <v>1</v>
      </c>
      <c r="H1574">
        <v>2023</v>
      </c>
      <c r="I1574" t="s">
        <v>1689</v>
      </c>
    </row>
    <row r="1575" spans="1:9" x14ac:dyDescent="0.3">
      <c r="A1575" t="s">
        <v>10137</v>
      </c>
      <c r="B1575" t="s">
        <v>29</v>
      </c>
      <c r="C1575">
        <v>7648876604</v>
      </c>
      <c r="D1575" s="2">
        <v>1</v>
      </c>
      <c r="E1575" t="str">
        <f>"4574674200726339"</f>
        <v>4574674200726339</v>
      </c>
      <c r="F1575" t="str">
        <f>"289"</f>
        <v>289</v>
      </c>
      <c r="G1575">
        <v>1</v>
      </c>
      <c r="H1575">
        <v>2023</v>
      </c>
      <c r="I1575" t="s">
        <v>1690</v>
      </c>
    </row>
    <row r="1576" spans="1:9" x14ac:dyDescent="0.3">
      <c r="A1576" t="s">
        <v>10137</v>
      </c>
      <c r="B1576" t="s">
        <v>29</v>
      </c>
      <c r="C1576">
        <v>7648876604</v>
      </c>
      <c r="D1576" s="2">
        <v>1</v>
      </c>
      <c r="E1576" t="str">
        <f>"4574674200726362"</f>
        <v>4574674200726362</v>
      </c>
      <c r="F1576" t="str">
        <f>"332"</f>
        <v>332</v>
      </c>
      <c r="G1576">
        <v>1</v>
      </c>
      <c r="H1576">
        <v>2023</v>
      </c>
      <c r="I1576" t="s">
        <v>1691</v>
      </c>
    </row>
    <row r="1577" spans="1:9" x14ac:dyDescent="0.3">
      <c r="A1577" t="s">
        <v>10137</v>
      </c>
      <c r="B1577" t="s">
        <v>29</v>
      </c>
      <c r="C1577">
        <v>7648876604</v>
      </c>
      <c r="D1577" s="2">
        <v>1</v>
      </c>
      <c r="E1577" t="str">
        <f>"4574674200726578"</f>
        <v>4574674200726578</v>
      </c>
      <c r="F1577" t="str">
        <f>"105"</f>
        <v>105</v>
      </c>
      <c r="G1577">
        <v>1</v>
      </c>
      <c r="H1577">
        <v>2023</v>
      </c>
      <c r="I1577" t="s">
        <v>1692</v>
      </c>
    </row>
    <row r="1578" spans="1:9" x14ac:dyDescent="0.3">
      <c r="A1578" t="s">
        <v>10137</v>
      </c>
      <c r="B1578" t="s">
        <v>29</v>
      </c>
      <c r="C1578">
        <v>7648876604</v>
      </c>
      <c r="D1578" s="2">
        <v>1</v>
      </c>
      <c r="E1578" t="str">
        <f>"4574674200726800"</f>
        <v>4574674200726800</v>
      </c>
      <c r="F1578" t="str">
        <f>"590"</f>
        <v>590</v>
      </c>
      <c r="G1578">
        <v>1</v>
      </c>
      <c r="H1578">
        <v>2023</v>
      </c>
      <c r="I1578" t="s">
        <v>1693</v>
      </c>
    </row>
    <row r="1579" spans="1:9" x14ac:dyDescent="0.3">
      <c r="A1579" t="s">
        <v>10137</v>
      </c>
      <c r="B1579" t="s">
        <v>29</v>
      </c>
      <c r="C1579">
        <v>7648876604</v>
      </c>
      <c r="D1579" s="2">
        <v>1</v>
      </c>
      <c r="E1579" t="str">
        <f>"4574674200726834"</f>
        <v>4574674200726834</v>
      </c>
      <c r="F1579" t="str">
        <f>"983"</f>
        <v>983</v>
      </c>
      <c r="G1579">
        <v>1</v>
      </c>
      <c r="H1579">
        <v>2023</v>
      </c>
      <c r="I1579" t="s">
        <v>1694</v>
      </c>
    </row>
    <row r="1580" spans="1:9" x14ac:dyDescent="0.3">
      <c r="A1580" t="s">
        <v>10137</v>
      </c>
      <c r="B1580" t="s">
        <v>29</v>
      </c>
      <c r="C1580">
        <v>7648876604</v>
      </c>
      <c r="D1580" s="2">
        <v>1</v>
      </c>
      <c r="E1580" t="str">
        <f>"4574674200726842"</f>
        <v>4574674200726842</v>
      </c>
      <c r="F1580" t="str">
        <f>"677"</f>
        <v>677</v>
      </c>
      <c r="G1580">
        <v>1</v>
      </c>
      <c r="H1580">
        <v>2023</v>
      </c>
      <c r="I1580" t="s">
        <v>1695</v>
      </c>
    </row>
    <row r="1581" spans="1:9" x14ac:dyDescent="0.3">
      <c r="A1581" t="s">
        <v>10138</v>
      </c>
      <c r="B1581" t="s">
        <v>30</v>
      </c>
      <c r="C1581">
        <v>7648876604</v>
      </c>
      <c r="D1581" s="2">
        <v>1</v>
      </c>
      <c r="E1581" t="str">
        <f>"4574674200726743"</f>
        <v>4574674200726743</v>
      </c>
      <c r="F1581" t="str">
        <f>"158"</f>
        <v>158</v>
      </c>
      <c r="G1581">
        <v>1</v>
      </c>
      <c r="H1581">
        <v>2023</v>
      </c>
      <c r="I1581" t="s">
        <v>1696</v>
      </c>
    </row>
    <row r="1582" spans="1:9" x14ac:dyDescent="0.3">
      <c r="A1582" t="s">
        <v>10138</v>
      </c>
      <c r="B1582" t="s">
        <v>30</v>
      </c>
      <c r="C1582">
        <v>7648876604</v>
      </c>
      <c r="D1582" s="2">
        <v>1</v>
      </c>
      <c r="E1582" t="str">
        <f>"4574674200726867"</f>
        <v>4574674200726867</v>
      </c>
      <c r="F1582" t="str">
        <f>"300"</f>
        <v>300</v>
      </c>
      <c r="G1582">
        <v>1</v>
      </c>
      <c r="H1582">
        <v>2023</v>
      </c>
      <c r="I1582" t="s">
        <v>1697</v>
      </c>
    </row>
    <row r="1583" spans="1:9" x14ac:dyDescent="0.3">
      <c r="A1583" t="s">
        <v>10138</v>
      </c>
      <c r="B1583" t="s">
        <v>30</v>
      </c>
      <c r="C1583">
        <v>7648876604</v>
      </c>
      <c r="D1583" s="2">
        <v>1</v>
      </c>
      <c r="E1583" t="str">
        <f>"4574674200726875"</f>
        <v>4574674200726875</v>
      </c>
      <c r="F1583" t="str">
        <f>"116"</f>
        <v>116</v>
      </c>
      <c r="G1583">
        <v>1</v>
      </c>
      <c r="H1583">
        <v>2023</v>
      </c>
      <c r="I1583" t="s">
        <v>1698</v>
      </c>
    </row>
    <row r="1584" spans="1:9" x14ac:dyDescent="0.3">
      <c r="A1584" t="s">
        <v>10138</v>
      </c>
      <c r="B1584" t="s">
        <v>30</v>
      </c>
      <c r="C1584">
        <v>7648876604</v>
      </c>
      <c r="D1584" s="2">
        <v>1</v>
      </c>
      <c r="E1584" t="str">
        <f>"4574674200726883"</f>
        <v>4574674200726883</v>
      </c>
      <c r="F1584" t="str">
        <f>"552"</f>
        <v>552</v>
      </c>
      <c r="G1584">
        <v>1</v>
      </c>
      <c r="H1584">
        <v>2023</v>
      </c>
      <c r="I1584" t="s">
        <v>1699</v>
      </c>
    </row>
    <row r="1585" spans="1:9" x14ac:dyDescent="0.3">
      <c r="A1585" t="s">
        <v>10138</v>
      </c>
      <c r="B1585" t="s">
        <v>30</v>
      </c>
      <c r="C1585">
        <v>7648876604</v>
      </c>
      <c r="D1585" s="2">
        <v>1</v>
      </c>
      <c r="E1585" t="str">
        <f>"4574674200727105"</f>
        <v>4574674200727105</v>
      </c>
      <c r="F1585" t="str">
        <f>"263"</f>
        <v>263</v>
      </c>
      <c r="G1585">
        <v>1</v>
      </c>
      <c r="H1585">
        <v>2023</v>
      </c>
      <c r="I1585" t="s">
        <v>1700</v>
      </c>
    </row>
    <row r="1586" spans="1:9" x14ac:dyDescent="0.3">
      <c r="A1586" t="s">
        <v>10138</v>
      </c>
      <c r="B1586" t="s">
        <v>30</v>
      </c>
      <c r="C1586">
        <v>7648876604</v>
      </c>
      <c r="D1586" s="2">
        <v>1</v>
      </c>
      <c r="E1586" t="str">
        <f>"4574674200726917"</f>
        <v>4574674200726917</v>
      </c>
      <c r="F1586" t="str">
        <f>"627"</f>
        <v>627</v>
      </c>
      <c r="G1586">
        <v>1</v>
      </c>
      <c r="H1586">
        <v>2023</v>
      </c>
      <c r="I1586" t="s">
        <v>1701</v>
      </c>
    </row>
    <row r="1587" spans="1:9" x14ac:dyDescent="0.3">
      <c r="A1587" t="s">
        <v>10138</v>
      </c>
      <c r="B1587" t="s">
        <v>30</v>
      </c>
      <c r="C1587">
        <v>7648876604</v>
      </c>
      <c r="D1587" s="2">
        <v>1</v>
      </c>
      <c r="E1587" t="str">
        <f>"4574674200726925"</f>
        <v>4574674200726925</v>
      </c>
      <c r="F1587" t="str">
        <f>"188"</f>
        <v>188</v>
      </c>
      <c r="G1587">
        <v>1</v>
      </c>
      <c r="H1587">
        <v>2023</v>
      </c>
      <c r="I1587" t="s">
        <v>1702</v>
      </c>
    </row>
    <row r="1588" spans="1:9" x14ac:dyDescent="0.3">
      <c r="A1588" t="s">
        <v>10138</v>
      </c>
      <c r="B1588" t="s">
        <v>30</v>
      </c>
      <c r="C1588">
        <v>7648876604</v>
      </c>
      <c r="D1588" s="2">
        <v>1</v>
      </c>
      <c r="E1588" t="str">
        <f>"4574674200726966"</f>
        <v>4574674200726966</v>
      </c>
      <c r="F1588" t="str">
        <f>"259"</f>
        <v>259</v>
      </c>
      <c r="G1588">
        <v>1</v>
      </c>
      <c r="H1588">
        <v>2023</v>
      </c>
      <c r="I1588" t="s">
        <v>1703</v>
      </c>
    </row>
    <row r="1589" spans="1:9" x14ac:dyDescent="0.3">
      <c r="A1589" t="s">
        <v>10138</v>
      </c>
      <c r="B1589" t="s">
        <v>30</v>
      </c>
      <c r="C1589">
        <v>7648876604</v>
      </c>
      <c r="D1589" s="2">
        <v>1</v>
      </c>
      <c r="E1589" t="str">
        <f>"4574674200727261"</f>
        <v>4574674200727261</v>
      </c>
      <c r="F1589" t="str">
        <f>"765"</f>
        <v>765</v>
      </c>
      <c r="G1589">
        <v>1</v>
      </c>
      <c r="H1589">
        <v>2023</v>
      </c>
      <c r="I1589" t="s">
        <v>1704</v>
      </c>
    </row>
    <row r="1590" spans="1:9" x14ac:dyDescent="0.3">
      <c r="A1590" t="s">
        <v>10138</v>
      </c>
      <c r="B1590" t="s">
        <v>30</v>
      </c>
      <c r="C1590">
        <v>7648876604</v>
      </c>
      <c r="D1590" s="2">
        <v>1</v>
      </c>
      <c r="E1590" t="str">
        <f>"4574674200726982"</f>
        <v>4574674200726982</v>
      </c>
      <c r="F1590" t="str">
        <f>"049"</f>
        <v>049</v>
      </c>
      <c r="G1590">
        <v>1</v>
      </c>
      <c r="H1590">
        <v>2023</v>
      </c>
      <c r="I1590" t="s">
        <v>1705</v>
      </c>
    </row>
    <row r="1591" spans="1:9" x14ac:dyDescent="0.3">
      <c r="A1591" t="s">
        <v>10139</v>
      </c>
      <c r="B1591" t="s">
        <v>31</v>
      </c>
      <c r="C1591">
        <v>7648876604</v>
      </c>
      <c r="D1591" s="2">
        <v>1</v>
      </c>
      <c r="E1591" t="str">
        <f>"4574674200727402"</f>
        <v>4574674200727402</v>
      </c>
      <c r="F1591" t="str">
        <f>"915"</f>
        <v>915</v>
      </c>
      <c r="G1591">
        <v>1</v>
      </c>
      <c r="H1591">
        <v>2023</v>
      </c>
      <c r="I1591" t="s">
        <v>1706</v>
      </c>
    </row>
    <row r="1592" spans="1:9" x14ac:dyDescent="0.3">
      <c r="A1592" t="s">
        <v>10139</v>
      </c>
      <c r="B1592" t="s">
        <v>31</v>
      </c>
      <c r="C1592">
        <v>7648876604</v>
      </c>
      <c r="D1592" s="2">
        <v>1</v>
      </c>
      <c r="E1592" t="str">
        <f>"4574674200726990"</f>
        <v>4574674200726990</v>
      </c>
      <c r="F1592" t="str">
        <f>"669"</f>
        <v>669</v>
      </c>
      <c r="G1592">
        <v>1</v>
      </c>
      <c r="H1592">
        <v>2023</v>
      </c>
      <c r="I1592" t="s">
        <v>1707</v>
      </c>
    </row>
    <row r="1593" spans="1:9" x14ac:dyDescent="0.3">
      <c r="A1593" t="s">
        <v>10139</v>
      </c>
      <c r="B1593" t="s">
        <v>31</v>
      </c>
      <c r="C1593">
        <v>7648876604</v>
      </c>
      <c r="D1593" s="2">
        <v>1</v>
      </c>
      <c r="E1593" t="str">
        <f>"4574674200727436"</f>
        <v>4574674200727436</v>
      </c>
      <c r="F1593" t="str">
        <f>"274"</f>
        <v>274</v>
      </c>
      <c r="G1593">
        <v>1</v>
      </c>
      <c r="H1593">
        <v>2023</v>
      </c>
      <c r="I1593" t="s">
        <v>1708</v>
      </c>
    </row>
    <row r="1594" spans="1:9" x14ac:dyDescent="0.3">
      <c r="A1594" t="s">
        <v>10139</v>
      </c>
      <c r="B1594" t="s">
        <v>31</v>
      </c>
      <c r="C1594">
        <v>7648876604</v>
      </c>
      <c r="D1594" s="2">
        <v>1</v>
      </c>
      <c r="E1594" t="str">
        <f>"4574674200727378"</f>
        <v>4574674200727378</v>
      </c>
      <c r="F1594" t="str">
        <f>"531"</f>
        <v>531</v>
      </c>
      <c r="G1594">
        <v>1</v>
      </c>
      <c r="H1594">
        <v>2023</v>
      </c>
      <c r="I1594" t="s">
        <v>1709</v>
      </c>
    </row>
    <row r="1595" spans="1:9" x14ac:dyDescent="0.3">
      <c r="A1595" t="s">
        <v>10139</v>
      </c>
      <c r="B1595" t="s">
        <v>31</v>
      </c>
      <c r="C1595">
        <v>7648876604</v>
      </c>
      <c r="D1595" s="2">
        <v>1</v>
      </c>
      <c r="E1595" t="str">
        <f>"4574674200727451"</f>
        <v>4574674200727451</v>
      </c>
      <c r="F1595" t="str">
        <f>"817"</f>
        <v>817</v>
      </c>
      <c r="G1595">
        <v>1</v>
      </c>
      <c r="H1595">
        <v>2023</v>
      </c>
      <c r="I1595" t="s">
        <v>1710</v>
      </c>
    </row>
    <row r="1596" spans="1:9" x14ac:dyDescent="0.3">
      <c r="A1596" t="s">
        <v>10139</v>
      </c>
      <c r="B1596" t="s">
        <v>31</v>
      </c>
      <c r="C1596">
        <v>7648876604</v>
      </c>
      <c r="D1596" s="2">
        <v>1</v>
      </c>
      <c r="E1596" t="str">
        <f>"4574674200727444"</f>
        <v>4574674200727444</v>
      </c>
      <c r="F1596" t="str">
        <f>"091"</f>
        <v>091</v>
      </c>
      <c r="G1596">
        <v>1</v>
      </c>
      <c r="H1596">
        <v>2023</v>
      </c>
      <c r="I1596" t="s">
        <v>1711</v>
      </c>
    </row>
    <row r="1597" spans="1:9" x14ac:dyDescent="0.3">
      <c r="A1597" t="s">
        <v>10139</v>
      </c>
      <c r="B1597" t="s">
        <v>31</v>
      </c>
      <c r="C1597">
        <v>7648876604</v>
      </c>
      <c r="D1597" s="2">
        <v>1</v>
      </c>
      <c r="E1597" t="str">
        <f>"4574674200727493"</f>
        <v>4574674200727493</v>
      </c>
      <c r="F1597" t="str">
        <f>"708"</f>
        <v>708</v>
      </c>
      <c r="G1597">
        <v>1</v>
      </c>
      <c r="H1597">
        <v>2023</v>
      </c>
      <c r="I1597" t="s">
        <v>1712</v>
      </c>
    </row>
    <row r="1598" spans="1:9" x14ac:dyDescent="0.3">
      <c r="A1598" t="s">
        <v>10139</v>
      </c>
      <c r="B1598" t="s">
        <v>31</v>
      </c>
      <c r="C1598">
        <v>7648876604</v>
      </c>
      <c r="D1598" s="2">
        <v>1</v>
      </c>
      <c r="E1598" t="str">
        <f>"4574674200727519"</f>
        <v>4574674200727519</v>
      </c>
      <c r="F1598" t="str">
        <f>"836"</f>
        <v>836</v>
      </c>
      <c r="G1598">
        <v>1</v>
      </c>
      <c r="H1598">
        <v>2023</v>
      </c>
      <c r="I1598" t="s">
        <v>1713</v>
      </c>
    </row>
    <row r="1599" spans="1:9" x14ac:dyDescent="0.3">
      <c r="A1599" t="s">
        <v>10139</v>
      </c>
      <c r="B1599" t="s">
        <v>31</v>
      </c>
      <c r="C1599">
        <v>7648876604</v>
      </c>
      <c r="D1599" s="2">
        <v>1</v>
      </c>
      <c r="E1599" t="str">
        <f>"4574674200727741"</f>
        <v>4574674200727741</v>
      </c>
      <c r="F1599" t="str">
        <f>"382"</f>
        <v>382</v>
      </c>
      <c r="G1599">
        <v>1</v>
      </c>
      <c r="H1599">
        <v>2023</v>
      </c>
      <c r="I1599" t="s">
        <v>1714</v>
      </c>
    </row>
    <row r="1600" spans="1:9" x14ac:dyDescent="0.3">
      <c r="A1600" t="s">
        <v>10139</v>
      </c>
      <c r="B1600" t="s">
        <v>31</v>
      </c>
      <c r="C1600">
        <v>7648876604</v>
      </c>
      <c r="D1600" s="2">
        <v>1</v>
      </c>
      <c r="E1600" t="str">
        <f>"4574674200727543"</f>
        <v>4574674200727543</v>
      </c>
      <c r="F1600" t="str">
        <f>"715"</f>
        <v>715</v>
      </c>
      <c r="G1600">
        <v>1</v>
      </c>
      <c r="H1600">
        <v>2023</v>
      </c>
      <c r="I1600" t="s">
        <v>1715</v>
      </c>
    </row>
    <row r="1601" spans="1:9" x14ac:dyDescent="0.3">
      <c r="A1601" t="s">
        <v>10138</v>
      </c>
      <c r="B1601" t="s">
        <v>30</v>
      </c>
      <c r="C1601">
        <v>7648876604</v>
      </c>
      <c r="D1601" s="2">
        <v>1</v>
      </c>
      <c r="E1601" t="str">
        <f>"4574674200727550"</f>
        <v>4574674200727550</v>
      </c>
      <c r="F1601" t="str">
        <f>"893"</f>
        <v>893</v>
      </c>
      <c r="G1601">
        <v>1</v>
      </c>
      <c r="H1601">
        <v>2023</v>
      </c>
      <c r="I1601" t="s">
        <v>1716</v>
      </c>
    </row>
    <row r="1602" spans="1:9" x14ac:dyDescent="0.3">
      <c r="A1602" t="s">
        <v>10138</v>
      </c>
      <c r="B1602" t="s">
        <v>30</v>
      </c>
      <c r="C1602">
        <v>7648876604</v>
      </c>
      <c r="D1602" s="2">
        <v>1</v>
      </c>
      <c r="E1602" t="str">
        <f>"4574674200727576"</f>
        <v>4574674200727576</v>
      </c>
      <c r="F1602" t="str">
        <f>"965"</f>
        <v>965</v>
      </c>
      <c r="G1602">
        <v>1</v>
      </c>
      <c r="H1602">
        <v>2023</v>
      </c>
      <c r="I1602" t="s">
        <v>1717</v>
      </c>
    </row>
    <row r="1603" spans="1:9" x14ac:dyDescent="0.3">
      <c r="A1603" t="s">
        <v>10138</v>
      </c>
      <c r="B1603" t="s">
        <v>30</v>
      </c>
      <c r="C1603">
        <v>7648876604</v>
      </c>
      <c r="D1603" s="2">
        <v>1</v>
      </c>
      <c r="E1603" t="str">
        <f>"4574674200727568"</f>
        <v>4574674200727568</v>
      </c>
      <c r="F1603" t="str">
        <f>"460"</f>
        <v>460</v>
      </c>
      <c r="G1603">
        <v>1</v>
      </c>
      <c r="H1603">
        <v>2023</v>
      </c>
      <c r="I1603" t="s">
        <v>1718</v>
      </c>
    </row>
    <row r="1604" spans="1:9" x14ac:dyDescent="0.3">
      <c r="A1604" t="s">
        <v>10138</v>
      </c>
      <c r="B1604" t="s">
        <v>30</v>
      </c>
      <c r="C1604">
        <v>7648876604</v>
      </c>
      <c r="D1604" s="2">
        <v>1</v>
      </c>
      <c r="E1604" t="str">
        <f>"4574674200727592"</f>
        <v>4574674200727592</v>
      </c>
      <c r="F1604" t="str">
        <f>"574"</f>
        <v>574</v>
      </c>
      <c r="G1604">
        <v>1</v>
      </c>
      <c r="H1604">
        <v>2023</v>
      </c>
      <c r="I1604" t="s">
        <v>1719</v>
      </c>
    </row>
    <row r="1605" spans="1:9" x14ac:dyDescent="0.3">
      <c r="A1605" t="s">
        <v>10138</v>
      </c>
      <c r="B1605" t="s">
        <v>30</v>
      </c>
      <c r="C1605">
        <v>7648876604</v>
      </c>
      <c r="D1605" s="2">
        <v>1</v>
      </c>
      <c r="E1605" t="str">
        <f>"4574674200728053"</f>
        <v>4574674200728053</v>
      </c>
      <c r="F1605" t="str">
        <f>"136"</f>
        <v>136</v>
      </c>
      <c r="G1605">
        <v>1</v>
      </c>
      <c r="H1605">
        <v>2023</v>
      </c>
      <c r="I1605" t="s">
        <v>1720</v>
      </c>
    </row>
    <row r="1606" spans="1:9" x14ac:dyDescent="0.3">
      <c r="A1606" t="s">
        <v>10138</v>
      </c>
      <c r="B1606" t="s">
        <v>30</v>
      </c>
      <c r="C1606">
        <v>7648876604</v>
      </c>
      <c r="D1606" s="2">
        <v>1</v>
      </c>
      <c r="E1606" t="str">
        <f>"4574674200728061"</f>
        <v>4574674200728061</v>
      </c>
      <c r="F1606" t="str">
        <f>"738"</f>
        <v>738</v>
      </c>
      <c r="G1606">
        <v>1</v>
      </c>
      <c r="H1606">
        <v>2023</v>
      </c>
      <c r="I1606" t="s">
        <v>1721</v>
      </c>
    </row>
    <row r="1607" spans="1:9" x14ac:dyDescent="0.3">
      <c r="A1607" t="s">
        <v>10138</v>
      </c>
      <c r="B1607" t="s">
        <v>30</v>
      </c>
      <c r="C1607">
        <v>7648876604</v>
      </c>
      <c r="D1607" s="2">
        <v>1</v>
      </c>
      <c r="E1607" t="str">
        <f>"4574674200728079"</f>
        <v>4574674200728079</v>
      </c>
      <c r="F1607" t="str">
        <f>"568"</f>
        <v>568</v>
      </c>
      <c r="G1607">
        <v>1</v>
      </c>
      <c r="H1607">
        <v>2023</v>
      </c>
      <c r="I1607" t="s">
        <v>1722</v>
      </c>
    </row>
    <row r="1608" spans="1:9" x14ac:dyDescent="0.3">
      <c r="A1608" t="s">
        <v>10138</v>
      </c>
      <c r="B1608" t="s">
        <v>30</v>
      </c>
      <c r="C1608">
        <v>7648876604</v>
      </c>
      <c r="D1608" s="2">
        <v>1</v>
      </c>
      <c r="E1608" t="str">
        <f>"4574674200728095"</f>
        <v>4574674200728095</v>
      </c>
      <c r="F1608" t="str">
        <f>"668"</f>
        <v>668</v>
      </c>
      <c r="G1608">
        <v>1</v>
      </c>
      <c r="H1608">
        <v>2023</v>
      </c>
      <c r="I1608" t="s">
        <v>1723</v>
      </c>
    </row>
    <row r="1609" spans="1:9" x14ac:dyDescent="0.3">
      <c r="A1609" t="s">
        <v>10138</v>
      </c>
      <c r="B1609" t="s">
        <v>30</v>
      </c>
      <c r="C1609">
        <v>7648876604</v>
      </c>
      <c r="D1609" s="2">
        <v>1</v>
      </c>
      <c r="E1609" t="str">
        <f>"4574674200728111"</f>
        <v>4574674200728111</v>
      </c>
      <c r="F1609" t="str">
        <f>"399"</f>
        <v>399</v>
      </c>
      <c r="G1609">
        <v>1</v>
      </c>
      <c r="H1609">
        <v>2023</v>
      </c>
      <c r="I1609" t="s">
        <v>1724</v>
      </c>
    </row>
    <row r="1610" spans="1:9" x14ac:dyDescent="0.3">
      <c r="A1610" t="s">
        <v>10138</v>
      </c>
      <c r="B1610" t="s">
        <v>30</v>
      </c>
      <c r="C1610">
        <v>7648876604</v>
      </c>
      <c r="D1610" s="2">
        <v>1</v>
      </c>
      <c r="E1610" t="str">
        <f>"4574674200728103"</f>
        <v>4574674200728103</v>
      </c>
      <c r="F1610" t="str">
        <f>"809"</f>
        <v>809</v>
      </c>
      <c r="G1610">
        <v>1</v>
      </c>
      <c r="H1610">
        <v>2023</v>
      </c>
      <c r="I1610" t="s">
        <v>1725</v>
      </c>
    </row>
    <row r="1611" spans="1:9" x14ac:dyDescent="0.3">
      <c r="A1611" t="s">
        <v>10140</v>
      </c>
      <c r="B1611" t="s">
        <v>32</v>
      </c>
      <c r="C1611">
        <v>7648876604</v>
      </c>
      <c r="D1611" s="2">
        <v>1</v>
      </c>
      <c r="E1611" t="str">
        <f>"4574674200728160"</f>
        <v>4574674200728160</v>
      </c>
      <c r="F1611" t="str">
        <f>"834"</f>
        <v>834</v>
      </c>
      <c r="G1611">
        <v>1</v>
      </c>
      <c r="H1611">
        <v>2023</v>
      </c>
      <c r="I1611" t="s">
        <v>1726</v>
      </c>
    </row>
    <row r="1612" spans="1:9" x14ac:dyDescent="0.3">
      <c r="A1612" t="s">
        <v>10140</v>
      </c>
      <c r="B1612" t="s">
        <v>32</v>
      </c>
      <c r="C1612">
        <v>7648876604</v>
      </c>
      <c r="D1612" s="2">
        <v>1</v>
      </c>
      <c r="E1612" t="str">
        <f>"4574674200728434"</f>
        <v>4574674200728434</v>
      </c>
      <c r="F1612" t="str">
        <f>"262"</f>
        <v>262</v>
      </c>
      <c r="G1612">
        <v>1</v>
      </c>
      <c r="H1612">
        <v>2023</v>
      </c>
      <c r="I1612" t="s">
        <v>1727</v>
      </c>
    </row>
    <row r="1613" spans="1:9" x14ac:dyDescent="0.3">
      <c r="A1613" t="s">
        <v>10140</v>
      </c>
      <c r="B1613" t="s">
        <v>32</v>
      </c>
      <c r="C1613">
        <v>7648876604</v>
      </c>
      <c r="D1613" s="2">
        <v>1</v>
      </c>
      <c r="E1613" t="str">
        <f>"4574674200728194"</f>
        <v>4574674200728194</v>
      </c>
      <c r="F1613" t="str">
        <f>"816"</f>
        <v>816</v>
      </c>
      <c r="G1613">
        <v>1</v>
      </c>
      <c r="H1613">
        <v>2023</v>
      </c>
      <c r="I1613" t="s">
        <v>1728</v>
      </c>
    </row>
    <row r="1614" spans="1:9" x14ac:dyDescent="0.3">
      <c r="A1614" t="s">
        <v>10140</v>
      </c>
      <c r="B1614" t="s">
        <v>32</v>
      </c>
      <c r="C1614">
        <v>7648876604</v>
      </c>
      <c r="D1614" s="2">
        <v>1</v>
      </c>
      <c r="E1614" t="str">
        <f>"4574674200728186"</f>
        <v>4574674200728186</v>
      </c>
      <c r="F1614" t="str">
        <f>"212"</f>
        <v>212</v>
      </c>
      <c r="G1614">
        <v>1</v>
      </c>
      <c r="H1614">
        <v>2023</v>
      </c>
      <c r="I1614" t="s">
        <v>1729</v>
      </c>
    </row>
    <row r="1615" spans="1:9" x14ac:dyDescent="0.3">
      <c r="A1615" t="s">
        <v>10140</v>
      </c>
      <c r="B1615" t="s">
        <v>32</v>
      </c>
      <c r="C1615">
        <v>7648876604</v>
      </c>
      <c r="D1615" s="2">
        <v>1</v>
      </c>
      <c r="E1615" t="str">
        <f>"4574674200728608"</f>
        <v>4574674200728608</v>
      </c>
      <c r="F1615" t="str">
        <f>"819"</f>
        <v>819</v>
      </c>
      <c r="G1615">
        <v>1</v>
      </c>
      <c r="H1615">
        <v>2023</v>
      </c>
      <c r="I1615" t="s">
        <v>1730</v>
      </c>
    </row>
    <row r="1616" spans="1:9" x14ac:dyDescent="0.3">
      <c r="A1616" t="s">
        <v>10140</v>
      </c>
      <c r="B1616" t="s">
        <v>32</v>
      </c>
      <c r="C1616">
        <v>7648876604</v>
      </c>
      <c r="D1616" s="2">
        <v>1</v>
      </c>
      <c r="E1616" t="str">
        <f>"4574674200728632"</f>
        <v>4574674200728632</v>
      </c>
      <c r="F1616" t="str">
        <f>"009"</f>
        <v>009</v>
      </c>
      <c r="G1616">
        <v>1</v>
      </c>
      <c r="H1616">
        <v>2023</v>
      </c>
      <c r="I1616" t="s">
        <v>1731</v>
      </c>
    </row>
    <row r="1617" spans="1:9" x14ac:dyDescent="0.3">
      <c r="A1617" t="s">
        <v>10140</v>
      </c>
      <c r="B1617" t="s">
        <v>32</v>
      </c>
      <c r="C1617">
        <v>7648876604</v>
      </c>
      <c r="D1617" s="2">
        <v>1</v>
      </c>
      <c r="E1617" t="str">
        <f>"4574674200728616"</f>
        <v>4574674200728616</v>
      </c>
      <c r="F1617" t="str">
        <f>"820"</f>
        <v>820</v>
      </c>
      <c r="G1617">
        <v>1</v>
      </c>
      <c r="H1617">
        <v>2023</v>
      </c>
      <c r="I1617" t="s">
        <v>1732</v>
      </c>
    </row>
    <row r="1618" spans="1:9" x14ac:dyDescent="0.3">
      <c r="A1618" t="s">
        <v>10140</v>
      </c>
      <c r="B1618" t="s">
        <v>32</v>
      </c>
      <c r="C1618">
        <v>7648876604</v>
      </c>
      <c r="D1618" s="2">
        <v>1</v>
      </c>
      <c r="E1618" t="str">
        <f>"4574674200728806"</f>
        <v>4574674200728806</v>
      </c>
      <c r="F1618" t="str">
        <f>"866"</f>
        <v>866</v>
      </c>
      <c r="G1618">
        <v>1</v>
      </c>
      <c r="H1618">
        <v>2023</v>
      </c>
      <c r="I1618" t="s">
        <v>1733</v>
      </c>
    </row>
    <row r="1619" spans="1:9" x14ac:dyDescent="0.3">
      <c r="A1619" t="s">
        <v>10140</v>
      </c>
      <c r="B1619" t="s">
        <v>32</v>
      </c>
      <c r="C1619">
        <v>7648876604</v>
      </c>
      <c r="D1619" s="2">
        <v>1</v>
      </c>
      <c r="E1619" t="str">
        <f>"4574674200728707"</f>
        <v>4574674200728707</v>
      </c>
      <c r="F1619" t="str">
        <f>"845"</f>
        <v>845</v>
      </c>
      <c r="G1619">
        <v>1</v>
      </c>
      <c r="H1619">
        <v>2023</v>
      </c>
      <c r="I1619" t="s">
        <v>1734</v>
      </c>
    </row>
    <row r="1620" spans="1:9" x14ac:dyDescent="0.3">
      <c r="A1620" t="s">
        <v>10140</v>
      </c>
      <c r="B1620" t="s">
        <v>32</v>
      </c>
      <c r="C1620">
        <v>7648876604</v>
      </c>
      <c r="D1620" s="2">
        <v>1</v>
      </c>
      <c r="E1620" t="str">
        <f>"4574674200728699"</f>
        <v>4574674200728699</v>
      </c>
      <c r="F1620" t="str">
        <f>"521"</f>
        <v>521</v>
      </c>
      <c r="G1620">
        <v>1</v>
      </c>
      <c r="H1620">
        <v>2023</v>
      </c>
      <c r="I1620" t="s">
        <v>1735</v>
      </c>
    </row>
    <row r="1621" spans="1:9" x14ac:dyDescent="0.3">
      <c r="A1621" t="s">
        <v>10141</v>
      </c>
      <c r="B1621" t="s">
        <v>33</v>
      </c>
      <c r="C1621">
        <v>7648876604</v>
      </c>
      <c r="D1621" s="2">
        <v>1</v>
      </c>
      <c r="E1621" t="str">
        <f>"4574674200728681"</f>
        <v>4574674200728681</v>
      </c>
      <c r="F1621" t="str">
        <f>"002"</f>
        <v>002</v>
      </c>
      <c r="G1621">
        <v>1</v>
      </c>
      <c r="H1621">
        <v>2023</v>
      </c>
      <c r="I1621" t="s">
        <v>1736</v>
      </c>
    </row>
    <row r="1622" spans="1:9" x14ac:dyDescent="0.3">
      <c r="A1622" t="s">
        <v>10141</v>
      </c>
      <c r="B1622" t="s">
        <v>33</v>
      </c>
      <c r="C1622">
        <v>7648876604</v>
      </c>
      <c r="D1622" s="2">
        <v>1</v>
      </c>
      <c r="E1622" t="str">
        <f>"4574674200728954"</f>
        <v>4574674200728954</v>
      </c>
      <c r="F1622" t="str">
        <f>"964"</f>
        <v>964</v>
      </c>
      <c r="G1622">
        <v>1</v>
      </c>
      <c r="H1622">
        <v>2023</v>
      </c>
      <c r="I1622" t="s">
        <v>1737</v>
      </c>
    </row>
    <row r="1623" spans="1:9" x14ac:dyDescent="0.3">
      <c r="A1623" t="s">
        <v>10141</v>
      </c>
      <c r="B1623" t="s">
        <v>33</v>
      </c>
      <c r="C1623">
        <v>7648876604</v>
      </c>
      <c r="D1623" s="2">
        <v>1</v>
      </c>
      <c r="E1623" t="str">
        <f>"4574674200728749"</f>
        <v>4574674200728749</v>
      </c>
      <c r="F1623" t="str">
        <f>"270"</f>
        <v>270</v>
      </c>
      <c r="G1623">
        <v>1</v>
      </c>
      <c r="H1623">
        <v>2023</v>
      </c>
      <c r="I1623" t="s">
        <v>1738</v>
      </c>
    </row>
    <row r="1624" spans="1:9" x14ac:dyDescent="0.3">
      <c r="A1624" t="s">
        <v>10141</v>
      </c>
      <c r="B1624" t="s">
        <v>33</v>
      </c>
      <c r="C1624">
        <v>7648876604</v>
      </c>
      <c r="D1624" s="2">
        <v>1</v>
      </c>
      <c r="E1624" t="str">
        <f>"4574674200728731"</f>
        <v>4574674200728731</v>
      </c>
      <c r="F1624" t="str">
        <f>"189"</f>
        <v>189</v>
      </c>
      <c r="G1624">
        <v>1</v>
      </c>
      <c r="H1624">
        <v>2023</v>
      </c>
      <c r="I1624" t="s">
        <v>1739</v>
      </c>
    </row>
    <row r="1625" spans="1:9" x14ac:dyDescent="0.3">
      <c r="A1625" t="s">
        <v>10141</v>
      </c>
      <c r="B1625" t="s">
        <v>33</v>
      </c>
      <c r="C1625">
        <v>7648876604</v>
      </c>
      <c r="D1625" s="2">
        <v>1</v>
      </c>
      <c r="E1625" t="str">
        <f>"4574674200728756"</f>
        <v>4574674200728756</v>
      </c>
      <c r="F1625" t="str">
        <f>"687"</f>
        <v>687</v>
      </c>
      <c r="G1625">
        <v>1</v>
      </c>
      <c r="H1625">
        <v>2023</v>
      </c>
      <c r="I1625" t="s">
        <v>1740</v>
      </c>
    </row>
    <row r="1626" spans="1:9" x14ac:dyDescent="0.3">
      <c r="A1626" t="s">
        <v>10141</v>
      </c>
      <c r="B1626" t="s">
        <v>33</v>
      </c>
      <c r="C1626">
        <v>7648876604</v>
      </c>
      <c r="D1626" s="2">
        <v>1</v>
      </c>
      <c r="E1626" t="str">
        <f>"4574674200729101"</f>
        <v>4574674200729101</v>
      </c>
      <c r="F1626" t="str">
        <f>"560"</f>
        <v>560</v>
      </c>
      <c r="G1626">
        <v>1</v>
      </c>
      <c r="H1626">
        <v>2023</v>
      </c>
      <c r="I1626" t="s">
        <v>1741</v>
      </c>
    </row>
    <row r="1627" spans="1:9" x14ac:dyDescent="0.3">
      <c r="A1627" t="s">
        <v>10141</v>
      </c>
      <c r="B1627" t="s">
        <v>33</v>
      </c>
      <c r="C1627">
        <v>7648876604</v>
      </c>
      <c r="D1627" s="2">
        <v>1</v>
      </c>
      <c r="E1627" t="str">
        <f>"4574674200729200"</f>
        <v>4574674200729200</v>
      </c>
      <c r="F1627" t="str">
        <f>"904"</f>
        <v>904</v>
      </c>
      <c r="G1627">
        <v>1</v>
      </c>
      <c r="H1627">
        <v>2023</v>
      </c>
      <c r="I1627" t="s">
        <v>1742</v>
      </c>
    </row>
    <row r="1628" spans="1:9" x14ac:dyDescent="0.3">
      <c r="A1628" t="s">
        <v>10141</v>
      </c>
      <c r="B1628" t="s">
        <v>33</v>
      </c>
      <c r="C1628">
        <v>7648876604</v>
      </c>
      <c r="D1628" s="2">
        <v>1</v>
      </c>
      <c r="E1628" t="str">
        <f>"4574674200729218"</f>
        <v>4574674200729218</v>
      </c>
      <c r="F1628" t="str">
        <f>"158"</f>
        <v>158</v>
      </c>
      <c r="G1628">
        <v>1</v>
      </c>
      <c r="H1628">
        <v>2023</v>
      </c>
      <c r="I1628" t="s">
        <v>1743</v>
      </c>
    </row>
    <row r="1629" spans="1:9" x14ac:dyDescent="0.3">
      <c r="A1629" t="s">
        <v>10141</v>
      </c>
      <c r="B1629" t="s">
        <v>33</v>
      </c>
      <c r="C1629">
        <v>7648876604</v>
      </c>
      <c r="D1629" s="2">
        <v>1</v>
      </c>
      <c r="E1629" t="str">
        <f>"4574674200729226"</f>
        <v>4574674200729226</v>
      </c>
      <c r="F1629" t="str">
        <f>"405"</f>
        <v>405</v>
      </c>
      <c r="G1629">
        <v>1</v>
      </c>
      <c r="H1629">
        <v>2023</v>
      </c>
      <c r="I1629" t="s">
        <v>1744</v>
      </c>
    </row>
    <row r="1630" spans="1:9" x14ac:dyDescent="0.3">
      <c r="A1630" t="s">
        <v>10141</v>
      </c>
      <c r="B1630" t="s">
        <v>33</v>
      </c>
      <c r="C1630">
        <v>7648876604</v>
      </c>
      <c r="D1630" s="2">
        <v>1</v>
      </c>
      <c r="E1630" t="str">
        <f>"4574674200729275"</f>
        <v>4574674200729275</v>
      </c>
      <c r="F1630" t="str">
        <f>"820"</f>
        <v>820</v>
      </c>
      <c r="G1630">
        <v>1</v>
      </c>
      <c r="H1630">
        <v>2023</v>
      </c>
      <c r="I1630" t="s">
        <v>1745</v>
      </c>
    </row>
    <row r="1631" spans="1:9" x14ac:dyDescent="0.3">
      <c r="A1631" t="s">
        <v>10142</v>
      </c>
      <c r="B1631" t="s">
        <v>34</v>
      </c>
      <c r="C1631">
        <v>7648876604</v>
      </c>
      <c r="D1631" s="2">
        <v>1</v>
      </c>
      <c r="E1631" t="str">
        <f>"4574674200729267"</f>
        <v>4574674200729267</v>
      </c>
      <c r="F1631" t="str">
        <f>"133"</f>
        <v>133</v>
      </c>
      <c r="G1631">
        <v>1</v>
      </c>
      <c r="H1631">
        <v>2023</v>
      </c>
      <c r="I1631" t="s">
        <v>1746</v>
      </c>
    </row>
    <row r="1632" spans="1:9" x14ac:dyDescent="0.3">
      <c r="A1632" t="s">
        <v>10142</v>
      </c>
      <c r="B1632" t="s">
        <v>34</v>
      </c>
      <c r="C1632">
        <v>7648876604</v>
      </c>
      <c r="D1632" s="2">
        <v>1</v>
      </c>
      <c r="E1632" t="str">
        <f>"4574674200729283"</f>
        <v>4574674200729283</v>
      </c>
      <c r="F1632" t="str">
        <f>"259"</f>
        <v>259</v>
      </c>
      <c r="G1632">
        <v>1</v>
      </c>
      <c r="H1632">
        <v>2023</v>
      </c>
      <c r="I1632" t="s">
        <v>1747</v>
      </c>
    </row>
    <row r="1633" spans="1:9" x14ac:dyDescent="0.3">
      <c r="A1633" t="s">
        <v>10142</v>
      </c>
      <c r="B1633" t="s">
        <v>34</v>
      </c>
      <c r="C1633">
        <v>7648876604</v>
      </c>
      <c r="D1633" s="2">
        <v>1</v>
      </c>
      <c r="E1633" t="str">
        <f>"4574674200729465"</f>
        <v>4574674200729465</v>
      </c>
      <c r="F1633" t="str">
        <f>"672"</f>
        <v>672</v>
      </c>
      <c r="G1633">
        <v>1</v>
      </c>
      <c r="H1633">
        <v>2023</v>
      </c>
      <c r="I1633" t="s">
        <v>1748</v>
      </c>
    </row>
    <row r="1634" spans="1:9" x14ac:dyDescent="0.3">
      <c r="A1634" t="s">
        <v>10142</v>
      </c>
      <c r="B1634" t="s">
        <v>34</v>
      </c>
      <c r="C1634">
        <v>7648876604</v>
      </c>
      <c r="D1634" s="2">
        <v>1</v>
      </c>
      <c r="E1634" t="str">
        <f>"4574674200729325"</f>
        <v>4574674200729325</v>
      </c>
      <c r="F1634" t="str">
        <f>"803"</f>
        <v>803</v>
      </c>
      <c r="G1634">
        <v>1</v>
      </c>
      <c r="H1634">
        <v>2023</v>
      </c>
      <c r="I1634" t="s">
        <v>1749</v>
      </c>
    </row>
    <row r="1635" spans="1:9" x14ac:dyDescent="0.3">
      <c r="A1635" t="s">
        <v>10142</v>
      </c>
      <c r="B1635" t="s">
        <v>34</v>
      </c>
      <c r="C1635">
        <v>7648876604</v>
      </c>
      <c r="D1635" s="2">
        <v>1</v>
      </c>
      <c r="E1635" t="str">
        <f>"4574674200729333"</f>
        <v>4574674200729333</v>
      </c>
      <c r="F1635" t="str">
        <f>"376"</f>
        <v>376</v>
      </c>
      <c r="G1635">
        <v>1</v>
      </c>
      <c r="H1635">
        <v>2023</v>
      </c>
      <c r="I1635" t="s">
        <v>1750</v>
      </c>
    </row>
    <row r="1636" spans="1:9" x14ac:dyDescent="0.3">
      <c r="A1636" t="s">
        <v>10142</v>
      </c>
      <c r="B1636" t="s">
        <v>34</v>
      </c>
      <c r="C1636">
        <v>7648876604</v>
      </c>
      <c r="D1636" s="2">
        <v>1</v>
      </c>
      <c r="E1636" t="str">
        <f>"4574674200729341"</f>
        <v>4574674200729341</v>
      </c>
      <c r="F1636" t="str">
        <f>"491"</f>
        <v>491</v>
      </c>
      <c r="G1636">
        <v>1</v>
      </c>
      <c r="H1636">
        <v>2023</v>
      </c>
      <c r="I1636" t="s">
        <v>1751</v>
      </c>
    </row>
    <row r="1637" spans="1:9" x14ac:dyDescent="0.3">
      <c r="A1637" t="s">
        <v>10142</v>
      </c>
      <c r="B1637" t="s">
        <v>34</v>
      </c>
      <c r="C1637">
        <v>7648876604</v>
      </c>
      <c r="D1637" s="2">
        <v>1</v>
      </c>
      <c r="E1637" t="str">
        <f>"4574674200729374"</f>
        <v>4574674200729374</v>
      </c>
      <c r="F1637" t="str">
        <f>"178"</f>
        <v>178</v>
      </c>
      <c r="G1637">
        <v>1</v>
      </c>
      <c r="H1637">
        <v>2023</v>
      </c>
      <c r="I1637" t="s">
        <v>1752</v>
      </c>
    </row>
    <row r="1638" spans="1:9" x14ac:dyDescent="0.3">
      <c r="A1638" t="s">
        <v>10142</v>
      </c>
      <c r="B1638" t="s">
        <v>34</v>
      </c>
      <c r="C1638">
        <v>7648876604</v>
      </c>
      <c r="D1638" s="2">
        <v>1</v>
      </c>
      <c r="E1638" t="str">
        <f>"4574674200729390"</f>
        <v>4574674200729390</v>
      </c>
      <c r="F1638" t="str">
        <f>"256"</f>
        <v>256</v>
      </c>
      <c r="G1638">
        <v>1</v>
      </c>
      <c r="H1638">
        <v>2023</v>
      </c>
      <c r="I1638" t="s">
        <v>1753</v>
      </c>
    </row>
    <row r="1639" spans="1:9" x14ac:dyDescent="0.3">
      <c r="A1639" t="s">
        <v>10142</v>
      </c>
      <c r="B1639" t="s">
        <v>34</v>
      </c>
      <c r="C1639">
        <v>7648876604</v>
      </c>
      <c r="D1639" s="2">
        <v>1</v>
      </c>
      <c r="E1639" t="str">
        <f>"4574674200729606"</f>
        <v>4574674200729606</v>
      </c>
      <c r="F1639" t="str">
        <f>"912"</f>
        <v>912</v>
      </c>
      <c r="G1639">
        <v>1</v>
      </c>
      <c r="H1639">
        <v>2023</v>
      </c>
      <c r="I1639" t="s">
        <v>1754</v>
      </c>
    </row>
    <row r="1640" spans="1:9" x14ac:dyDescent="0.3">
      <c r="A1640" t="s">
        <v>10142</v>
      </c>
      <c r="B1640" t="s">
        <v>34</v>
      </c>
      <c r="C1640">
        <v>7648876604</v>
      </c>
      <c r="D1640" s="2">
        <v>1</v>
      </c>
      <c r="E1640" t="str">
        <f>"4574674200729812"</f>
        <v>4574674200729812</v>
      </c>
      <c r="F1640" t="str">
        <f>"206"</f>
        <v>206</v>
      </c>
      <c r="G1640">
        <v>1</v>
      </c>
      <c r="H1640">
        <v>2023</v>
      </c>
      <c r="I1640" t="s">
        <v>1755</v>
      </c>
    </row>
    <row r="1641" spans="1:9" x14ac:dyDescent="0.3">
      <c r="A1641" t="s">
        <v>10143</v>
      </c>
      <c r="B1641" t="s">
        <v>35</v>
      </c>
      <c r="C1641">
        <v>7648876604</v>
      </c>
      <c r="D1641" s="2">
        <v>1</v>
      </c>
      <c r="E1641" t="str">
        <f>"4574674200729648"</f>
        <v>4574674200729648</v>
      </c>
      <c r="F1641" t="str">
        <f>"804"</f>
        <v>804</v>
      </c>
      <c r="G1641">
        <v>1</v>
      </c>
      <c r="H1641">
        <v>2023</v>
      </c>
      <c r="I1641" t="s">
        <v>1756</v>
      </c>
    </row>
    <row r="1642" spans="1:9" x14ac:dyDescent="0.3">
      <c r="A1642" t="s">
        <v>10143</v>
      </c>
      <c r="B1642" t="s">
        <v>35</v>
      </c>
      <c r="C1642">
        <v>7648876604</v>
      </c>
      <c r="D1642" s="2">
        <v>1</v>
      </c>
      <c r="E1642" t="str">
        <f>"4574674200729655"</f>
        <v>4574674200729655</v>
      </c>
      <c r="F1642" t="str">
        <f>"037"</f>
        <v>037</v>
      </c>
      <c r="G1642">
        <v>1</v>
      </c>
      <c r="H1642">
        <v>2023</v>
      </c>
      <c r="I1642" t="s">
        <v>1757</v>
      </c>
    </row>
    <row r="1643" spans="1:9" x14ac:dyDescent="0.3">
      <c r="A1643" t="s">
        <v>10143</v>
      </c>
      <c r="B1643" t="s">
        <v>35</v>
      </c>
      <c r="C1643">
        <v>7648876604</v>
      </c>
      <c r="D1643" s="2">
        <v>1</v>
      </c>
      <c r="E1643" t="str">
        <f>"4574674200729671"</f>
        <v>4574674200729671</v>
      </c>
      <c r="F1643" t="str">
        <f>"026"</f>
        <v>026</v>
      </c>
      <c r="G1643">
        <v>1</v>
      </c>
      <c r="H1643">
        <v>2023</v>
      </c>
      <c r="I1643" t="s">
        <v>1758</v>
      </c>
    </row>
    <row r="1644" spans="1:9" x14ac:dyDescent="0.3">
      <c r="A1644" t="s">
        <v>10143</v>
      </c>
      <c r="B1644" t="s">
        <v>35</v>
      </c>
      <c r="C1644">
        <v>7648876604</v>
      </c>
      <c r="D1644" s="2">
        <v>1</v>
      </c>
      <c r="E1644" t="str">
        <f>"4574674200729689"</f>
        <v>4574674200729689</v>
      </c>
      <c r="F1644" t="str">
        <f>"345"</f>
        <v>345</v>
      </c>
      <c r="G1644">
        <v>1</v>
      </c>
      <c r="H1644">
        <v>2023</v>
      </c>
      <c r="I1644" t="s">
        <v>1759</v>
      </c>
    </row>
    <row r="1645" spans="1:9" x14ac:dyDescent="0.3">
      <c r="A1645" t="s">
        <v>10143</v>
      </c>
      <c r="B1645" t="s">
        <v>35</v>
      </c>
      <c r="C1645">
        <v>7648876604</v>
      </c>
      <c r="D1645" s="2">
        <v>1</v>
      </c>
      <c r="E1645" t="str">
        <f>"4574674200729978"</f>
        <v>4574674200729978</v>
      </c>
      <c r="F1645" t="str">
        <f>"508"</f>
        <v>508</v>
      </c>
      <c r="G1645">
        <v>1</v>
      </c>
      <c r="H1645">
        <v>2023</v>
      </c>
      <c r="I1645" t="s">
        <v>1760</v>
      </c>
    </row>
    <row r="1646" spans="1:9" x14ac:dyDescent="0.3">
      <c r="A1646" t="s">
        <v>10143</v>
      </c>
      <c r="B1646" t="s">
        <v>35</v>
      </c>
      <c r="C1646">
        <v>7648876604</v>
      </c>
      <c r="D1646" s="2">
        <v>1</v>
      </c>
      <c r="E1646" t="str">
        <f>"4574674200729705"</f>
        <v>4574674200729705</v>
      </c>
      <c r="F1646" t="str">
        <f>"819"</f>
        <v>819</v>
      </c>
      <c r="G1646">
        <v>1</v>
      </c>
      <c r="H1646">
        <v>2023</v>
      </c>
      <c r="I1646" t="s">
        <v>1761</v>
      </c>
    </row>
    <row r="1647" spans="1:9" x14ac:dyDescent="0.3">
      <c r="A1647" t="s">
        <v>10143</v>
      </c>
      <c r="B1647" t="s">
        <v>35</v>
      </c>
      <c r="C1647">
        <v>7648876604</v>
      </c>
      <c r="D1647" s="2">
        <v>1</v>
      </c>
      <c r="E1647" t="str">
        <f>"4574674200729713"</f>
        <v>4574674200729713</v>
      </c>
      <c r="F1647" t="str">
        <f>"545"</f>
        <v>545</v>
      </c>
      <c r="G1647">
        <v>1</v>
      </c>
      <c r="H1647">
        <v>2023</v>
      </c>
      <c r="I1647" t="s">
        <v>1762</v>
      </c>
    </row>
    <row r="1648" spans="1:9" x14ac:dyDescent="0.3">
      <c r="A1648" t="s">
        <v>10143</v>
      </c>
      <c r="B1648" t="s">
        <v>35</v>
      </c>
      <c r="C1648">
        <v>7648876604</v>
      </c>
      <c r="D1648" s="2">
        <v>1</v>
      </c>
      <c r="E1648" t="str">
        <f>"4574674200729754"</f>
        <v>4574674200729754</v>
      </c>
      <c r="F1648" t="str">
        <f>"154"</f>
        <v>154</v>
      </c>
      <c r="G1648">
        <v>1</v>
      </c>
      <c r="H1648">
        <v>2023</v>
      </c>
      <c r="I1648" t="s">
        <v>1763</v>
      </c>
    </row>
    <row r="1649" spans="1:9" x14ac:dyDescent="0.3">
      <c r="A1649" t="s">
        <v>10143</v>
      </c>
      <c r="B1649" t="s">
        <v>35</v>
      </c>
      <c r="C1649">
        <v>7648876604</v>
      </c>
      <c r="D1649" s="2">
        <v>1</v>
      </c>
      <c r="E1649" t="str">
        <f>"4574674200730141"</f>
        <v>4574674200730141</v>
      </c>
      <c r="F1649" t="str">
        <f>"923"</f>
        <v>923</v>
      </c>
      <c r="G1649">
        <v>1</v>
      </c>
      <c r="H1649">
        <v>2023</v>
      </c>
      <c r="I1649" t="s">
        <v>1764</v>
      </c>
    </row>
    <row r="1650" spans="1:9" x14ac:dyDescent="0.3">
      <c r="A1650" t="s">
        <v>10143</v>
      </c>
      <c r="B1650" t="s">
        <v>35</v>
      </c>
      <c r="C1650">
        <v>7648876604</v>
      </c>
      <c r="D1650" s="2">
        <v>1</v>
      </c>
      <c r="E1650" t="str">
        <f>"4574674200729796"</f>
        <v>4574674200729796</v>
      </c>
      <c r="F1650" t="str">
        <f>"031"</f>
        <v>031</v>
      </c>
      <c r="G1650">
        <v>1</v>
      </c>
      <c r="H1650">
        <v>2023</v>
      </c>
      <c r="I1650" t="s">
        <v>1765</v>
      </c>
    </row>
    <row r="1651" spans="1:9" x14ac:dyDescent="0.3">
      <c r="A1651" t="s">
        <v>10144</v>
      </c>
      <c r="B1651" t="s">
        <v>36</v>
      </c>
      <c r="C1651">
        <v>7648876604</v>
      </c>
      <c r="D1651" s="2">
        <v>1</v>
      </c>
      <c r="E1651" t="str">
        <f>"4574674200730208"</f>
        <v>4574674200730208</v>
      </c>
      <c r="F1651" t="str">
        <f>"941"</f>
        <v>941</v>
      </c>
      <c r="G1651">
        <v>1</v>
      </c>
      <c r="H1651">
        <v>2023</v>
      </c>
      <c r="I1651" t="s">
        <v>1766</v>
      </c>
    </row>
    <row r="1652" spans="1:9" x14ac:dyDescent="0.3">
      <c r="A1652" t="s">
        <v>10144</v>
      </c>
      <c r="B1652" t="s">
        <v>36</v>
      </c>
      <c r="C1652">
        <v>7648876604</v>
      </c>
      <c r="D1652" s="2">
        <v>1</v>
      </c>
      <c r="E1652" t="str">
        <f>"4574674200729788"</f>
        <v>4574674200729788</v>
      </c>
      <c r="F1652" t="str">
        <f>"895"</f>
        <v>895</v>
      </c>
      <c r="G1652">
        <v>1</v>
      </c>
      <c r="H1652">
        <v>2023</v>
      </c>
      <c r="I1652" t="s">
        <v>1767</v>
      </c>
    </row>
    <row r="1653" spans="1:9" x14ac:dyDescent="0.3">
      <c r="A1653" t="s">
        <v>10144</v>
      </c>
      <c r="B1653" t="s">
        <v>36</v>
      </c>
      <c r="C1653">
        <v>7648876604</v>
      </c>
      <c r="D1653" s="2">
        <v>1</v>
      </c>
      <c r="E1653" t="str">
        <f>"4574674200730224"</f>
        <v>4574674200730224</v>
      </c>
      <c r="F1653" t="str">
        <f>"017"</f>
        <v>017</v>
      </c>
      <c r="G1653">
        <v>1</v>
      </c>
      <c r="H1653">
        <v>2023</v>
      </c>
      <c r="I1653" t="s">
        <v>1768</v>
      </c>
    </row>
    <row r="1654" spans="1:9" x14ac:dyDescent="0.3">
      <c r="A1654" t="s">
        <v>10144</v>
      </c>
      <c r="B1654" t="s">
        <v>36</v>
      </c>
      <c r="C1654">
        <v>7648876604</v>
      </c>
      <c r="D1654" s="2">
        <v>1</v>
      </c>
      <c r="E1654" t="str">
        <f>"4574674200730232"</f>
        <v>4574674200730232</v>
      </c>
      <c r="F1654" t="str">
        <f>"940"</f>
        <v>940</v>
      </c>
      <c r="G1654">
        <v>1</v>
      </c>
      <c r="H1654">
        <v>2023</v>
      </c>
      <c r="I1654" t="s">
        <v>1769</v>
      </c>
    </row>
    <row r="1655" spans="1:9" x14ac:dyDescent="0.3">
      <c r="A1655" t="s">
        <v>10144</v>
      </c>
      <c r="B1655" t="s">
        <v>36</v>
      </c>
      <c r="C1655">
        <v>7648876604</v>
      </c>
      <c r="D1655" s="2">
        <v>1</v>
      </c>
      <c r="E1655" t="str">
        <f>"4574674200730489"</f>
        <v>4574674200730489</v>
      </c>
      <c r="F1655" t="str">
        <f>"456"</f>
        <v>456</v>
      </c>
      <c r="G1655">
        <v>1</v>
      </c>
      <c r="H1655">
        <v>2023</v>
      </c>
      <c r="I1655" t="s">
        <v>1770</v>
      </c>
    </row>
    <row r="1656" spans="1:9" x14ac:dyDescent="0.3">
      <c r="A1656" t="s">
        <v>10144</v>
      </c>
      <c r="B1656" t="s">
        <v>36</v>
      </c>
      <c r="C1656">
        <v>7648876604</v>
      </c>
      <c r="D1656" s="2">
        <v>1</v>
      </c>
      <c r="E1656" t="str">
        <f>"4574674200730307"</f>
        <v>4574674200730307</v>
      </c>
      <c r="F1656" t="str">
        <f>"252"</f>
        <v>252</v>
      </c>
      <c r="G1656">
        <v>1</v>
      </c>
      <c r="H1656">
        <v>2023</v>
      </c>
      <c r="I1656" t="s">
        <v>1771</v>
      </c>
    </row>
    <row r="1657" spans="1:9" x14ac:dyDescent="0.3">
      <c r="A1657" t="s">
        <v>10144</v>
      </c>
      <c r="B1657" t="s">
        <v>36</v>
      </c>
      <c r="C1657">
        <v>7648876604</v>
      </c>
      <c r="D1657" s="2">
        <v>1</v>
      </c>
      <c r="E1657" t="str">
        <f>"4574674200730273"</f>
        <v>4574674200730273</v>
      </c>
      <c r="F1657" t="str">
        <f>"654"</f>
        <v>654</v>
      </c>
      <c r="G1657">
        <v>1</v>
      </c>
      <c r="H1657">
        <v>2023</v>
      </c>
      <c r="I1657" t="s">
        <v>1772</v>
      </c>
    </row>
    <row r="1658" spans="1:9" x14ac:dyDescent="0.3">
      <c r="A1658" t="s">
        <v>10144</v>
      </c>
      <c r="B1658" t="s">
        <v>36</v>
      </c>
      <c r="C1658">
        <v>7648876604</v>
      </c>
      <c r="D1658" s="2">
        <v>1</v>
      </c>
      <c r="E1658" t="str">
        <f>"4574674200730315"</f>
        <v>4574674200730315</v>
      </c>
      <c r="F1658" t="str">
        <f>"845"</f>
        <v>845</v>
      </c>
      <c r="G1658">
        <v>1</v>
      </c>
      <c r="H1658">
        <v>2023</v>
      </c>
      <c r="I1658" t="s">
        <v>1773</v>
      </c>
    </row>
    <row r="1659" spans="1:9" x14ac:dyDescent="0.3">
      <c r="A1659" t="s">
        <v>10144</v>
      </c>
      <c r="B1659" t="s">
        <v>36</v>
      </c>
      <c r="C1659">
        <v>7648876604</v>
      </c>
      <c r="D1659" s="2">
        <v>1</v>
      </c>
      <c r="E1659" t="str">
        <f>"4574674200730323"</f>
        <v>4574674200730323</v>
      </c>
      <c r="F1659" t="str">
        <f>"578"</f>
        <v>578</v>
      </c>
      <c r="G1659">
        <v>1</v>
      </c>
      <c r="H1659">
        <v>2023</v>
      </c>
      <c r="I1659" t="s">
        <v>1774</v>
      </c>
    </row>
    <row r="1660" spans="1:9" x14ac:dyDescent="0.3">
      <c r="A1660" t="s">
        <v>10144</v>
      </c>
      <c r="B1660" t="s">
        <v>36</v>
      </c>
      <c r="C1660">
        <v>7648876604</v>
      </c>
      <c r="D1660" s="2">
        <v>1</v>
      </c>
      <c r="E1660" t="str">
        <f>"4574674200730687"</f>
        <v>4574674200730687</v>
      </c>
      <c r="F1660" t="str">
        <f>"446"</f>
        <v>446</v>
      </c>
      <c r="G1660">
        <v>1</v>
      </c>
      <c r="H1660">
        <v>2023</v>
      </c>
      <c r="I1660" t="s">
        <v>1775</v>
      </c>
    </row>
    <row r="1661" spans="1:9" x14ac:dyDescent="0.3">
      <c r="A1661" t="s">
        <v>10145</v>
      </c>
      <c r="B1661" t="s">
        <v>37</v>
      </c>
      <c r="C1661">
        <v>7648876604</v>
      </c>
      <c r="D1661" s="2">
        <v>1</v>
      </c>
      <c r="E1661" t="str">
        <f>"4574674200730364"</f>
        <v>4574674200730364</v>
      </c>
      <c r="F1661" t="str">
        <f>"566"</f>
        <v>566</v>
      </c>
      <c r="G1661">
        <v>1</v>
      </c>
      <c r="H1661">
        <v>2023</v>
      </c>
      <c r="I1661" t="s">
        <v>1776</v>
      </c>
    </row>
    <row r="1662" spans="1:9" x14ac:dyDescent="0.3">
      <c r="A1662" t="s">
        <v>10145</v>
      </c>
      <c r="B1662" t="s">
        <v>37</v>
      </c>
      <c r="C1662">
        <v>7648876604</v>
      </c>
      <c r="D1662" s="2">
        <v>1</v>
      </c>
      <c r="E1662" t="str">
        <f>"4574674200730372"</f>
        <v>4574674200730372</v>
      </c>
      <c r="F1662" t="str">
        <f>"909"</f>
        <v>909</v>
      </c>
      <c r="G1662">
        <v>1</v>
      </c>
      <c r="H1662">
        <v>2023</v>
      </c>
      <c r="I1662" t="s">
        <v>1777</v>
      </c>
    </row>
    <row r="1663" spans="1:9" x14ac:dyDescent="0.3">
      <c r="A1663" t="s">
        <v>10145</v>
      </c>
      <c r="B1663" t="s">
        <v>37</v>
      </c>
      <c r="C1663">
        <v>7648876604</v>
      </c>
      <c r="D1663" s="2">
        <v>1</v>
      </c>
      <c r="E1663" t="str">
        <f>"4574674200730398"</f>
        <v>4574674200730398</v>
      </c>
      <c r="F1663" t="str">
        <f>"115"</f>
        <v>115</v>
      </c>
      <c r="G1663">
        <v>1</v>
      </c>
      <c r="H1663">
        <v>2023</v>
      </c>
      <c r="I1663" t="s">
        <v>1778</v>
      </c>
    </row>
    <row r="1664" spans="1:9" x14ac:dyDescent="0.3">
      <c r="A1664" t="s">
        <v>10145</v>
      </c>
      <c r="B1664" t="s">
        <v>37</v>
      </c>
      <c r="C1664">
        <v>7648876604</v>
      </c>
      <c r="D1664" s="2">
        <v>1</v>
      </c>
      <c r="E1664" t="str">
        <f>"4574674200730810"</f>
        <v>4574674200730810</v>
      </c>
      <c r="F1664" t="str">
        <f>"949"</f>
        <v>949</v>
      </c>
      <c r="G1664">
        <v>1</v>
      </c>
      <c r="H1664">
        <v>2023</v>
      </c>
      <c r="I1664" t="s">
        <v>1779</v>
      </c>
    </row>
    <row r="1665" spans="1:9" x14ac:dyDescent="0.3">
      <c r="A1665" t="s">
        <v>10145</v>
      </c>
      <c r="B1665" t="s">
        <v>37</v>
      </c>
      <c r="C1665">
        <v>7648876604</v>
      </c>
      <c r="D1665" s="2">
        <v>1</v>
      </c>
      <c r="E1665" t="str">
        <f>"4574674200731065"</f>
        <v>4574674200731065</v>
      </c>
      <c r="F1665" t="str">
        <f>"200"</f>
        <v>200</v>
      </c>
      <c r="G1665">
        <v>1</v>
      </c>
      <c r="H1665">
        <v>2023</v>
      </c>
      <c r="I1665" t="s">
        <v>1780</v>
      </c>
    </row>
    <row r="1666" spans="1:9" x14ac:dyDescent="0.3">
      <c r="A1666" t="s">
        <v>10145</v>
      </c>
      <c r="B1666" t="s">
        <v>37</v>
      </c>
      <c r="C1666">
        <v>7648876604</v>
      </c>
      <c r="D1666" s="2">
        <v>1</v>
      </c>
      <c r="E1666" t="str">
        <f>"4574674200730828"</f>
        <v>4574674200730828</v>
      </c>
      <c r="F1666" t="str">
        <f>"413"</f>
        <v>413</v>
      </c>
      <c r="G1666">
        <v>1</v>
      </c>
      <c r="H1666">
        <v>2023</v>
      </c>
      <c r="I1666" t="s">
        <v>1781</v>
      </c>
    </row>
    <row r="1667" spans="1:9" x14ac:dyDescent="0.3">
      <c r="A1667" t="s">
        <v>10145</v>
      </c>
      <c r="B1667" t="s">
        <v>37</v>
      </c>
      <c r="C1667">
        <v>7648876604</v>
      </c>
      <c r="D1667" s="2">
        <v>1</v>
      </c>
      <c r="E1667" t="str">
        <f>"4574674200730851"</f>
        <v>4574674200730851</v>
      </c>
      <c r="F1667" t="str">
        <f>"134"</f>
        <v>134</v>
      </c>
      <c r="G1667">
        <v>1</v>
      </c>
      <c r="H1667">
        <v>2023</v>
      </c>
      <c r="I1667" t="s">
        <v>1782</v>
      </c>
    </row>
    <row r="1668" spans="1:9" x14ac:dyDescent="0.3">
      <c r="A1668" t="s">
        <v>10145</v>
      </c>
      <c r="B1668" t="s">
        <v>37</v>
      </c>
      <c r="C1668">
        <v>7648876604</v>
      </c>
      <c r="D1668" s="2">
        <v>1</v>
      </c>
      <c r="E1668" t="str">
        <f>"4574674200730869"</f>
        <v>4574674200730869</v>
      </c>
      <c r="F1668" t="str">
        <f>"393"</f>
        <v>393</v>
      </c>
      <c r="G1668">
        <v>1</v>
      </c>
      <c r="H1668">
        <v>2023</v>
      </c>
      <c r="I1668" t="s">
        <v>1783</v>
      </c>
    </row>
    <row r="1669" spans="1:9" x14ac:dyDescent="0.3">
      <c r="A1669" t="s">
        <v>10145</v>
      </c>
      <c r="B1669" t="s">
        <v>37</v>
      </c>
      <c r="C1669">
        <v>7648876604</v>
      </c>
      <c r="D1669" s="2">
        <v>1</v>
      </c>
      <c r="E1669" t="str">
        <f>"4574674200730877"</f>
        <v>4574674200730877</v>
      </c>
      <c r="F1669" t="str">
        <f>"098"</f>
        <v>098</v>
      </c>
      <c r="G1669">
        <v>1</v>
      </c>
      <c r="H1669">
        <v>2023</v>
      </c>
      <c r="I1669" t="s">
        <v>1784</v>
      </c>
    </row>
    <row r="1670" spans="1:9" x14ac:dyDescent="0.3">
      <c r="A1670" t="s">
        <v>10145</v>
      </c>
      <c r="B1670" t="s">
        <v>37</v>
      </c>
      <c r="C1670">
        <v>7648876604</v>
      </c>
      <c r="D1670" s="2">
        <v>1</v>
      </c>
      <c r="E1670" t="str">
        <f>"4574674200731198"</f>
        <v>4574674200731198</v>
      </c>
      <c r="F1670" t="str">
        <f>"008"</f>
        <v>008</v>
      </c>
      <c r="G1670">
        <v>1</v>
      </c>
      <c r="H1670">
        <v>2023</v>
      </c>
      <c r="I1670" t="s">
        <v>1785</v>
      </c>
    </row>
    <row r="1671" spans="1:9" x14ac:dyDescent="0.3">
      <c r="A1671" t="s">
        <v>10146</v>
      </c>
      <c r="B1671" t="s">
        <v>38</v>
      </c>
      <c r="C1671">
        <v>7648876604</v>
      </c>
      <c r="D1671" s="2">
        <v>1</v>
      </c>
      <c r="E1671" t="str">
        <f>"4574674200730935"</f>
        <v>4574674200730935</v>
      </c>
      <c r="F1671" t="str">
        <f>"693"</f>
        <v>693</v>
      </c>
      <c r="G1671">
        <v>1</v>
      </c>
      <c r="H1671">
        <v>2023</v>
      </c>
      <c r="I1671" t="s">
        <v>1786</v>
      </c>
    </row>
    <row r="1672" spans="1:9" x14ac:dyDescent="0.3">
      <c r="A1672" t="s">
        <v>10146</v>
      </c>
      <c r="B1672" t="s">
        <v>38</v>
      </c>
      <c r="C1672">
        <v>7648876604</v>
      </c>
      <c r="D1672" s="2">
        <v>1</v>
      </c>
      <c r="E1672" t="str">
        <f>"4574674200730927"</f>
        <v>4574674200730927</v>
      </c>
      <c r="F1672" t="str">
        <f>"215"</f>
        <v>215</v>
      </c>
      <c r="G1672">
        <v>1</v>
      </c>
      <c r="H1672">
        <v>2023</v>
      </c>
      <c r="I1672" t="s">
        <v>1787</v>
      </c>
    </row>
    <row r="1673" spans="1:9" x14ac:dyDescent="0.3">
      <c r="A1673" t="s">
        <v>10146</v>
      </c>
      <c r="B1673" t="s">
        <v>38</v>
      </c>
      <c r="C1673">
        <v>7648876604</v>
      </c>
      <c r="D1673" s="2">
        <v>1</v>
      </c>
      <c r="E1673" t="str">
        <f>"4574674200730968"</f>
        <v>4574674200730968</v>
      </c>
      <c r="F1673" t="str">
        <f>"650"</f>
        <v>650</v>
      </c>
      <c r="G1673">
        <v>1</v>
      </c>
      <c r="H1673">
        <v>2023</v>
      </c>
      <c r="I1673" t="s">
        <v>1788</v>
      </c>
    </row>
    <row r="1674" spans="1:9" x14ac:dyDescent="0.3">
      <c r="A1674" t="s">
        <v>10146</v>
      </c>
      <c r="B1674" t="s">
        <v>38</v>
      </c>
      <c r="C1674">
        <v>7648876604</v>
      </c>
      <c r="D1674" s="2">
        <v>1</v>
      </c>
      <c r="E1674" t="str">
        <f>"4574674200731347"</f>
        <v>4574674200731347</v>
      </c>
      <c r="F1674" t="str">
        <f>"632"</f>
        <v>632</v>
      </c>
      <c r="G1674">
        <v>1</v>
      </c>
      <c r="H1674">
        <v>2023</v>
      </c>
      <c r="I1674" t="s">
        <v>1789</v>
      </c>
    </row>
    <row r="1675" spans="1:9" x14ac:dyDescent="0.3">
      <c r="A1675" t="s">
        <v>10146</v>
      </c>
      <c r="B1675" t="s">
        <v>38</v>
      </c>
      <c r="C1675">
        <v>7648876604</v>
      </c>
      <c r="D1675" s="2">
        <v>1</v>
      </c>
      <c r="E1675" t="str">
        <f>"4574674200730992"</f>
        <v>4574674200730992</v>
      </c>
      <c r="F1675" t="str">
        <f>"022"</f>
        <v>022</v>
      </c>
      <c r="G1675">
        <v>1</v>
      </c>
      <c r="H1675">
        <v>2023</v>
      </c>
      <c r="I1675" t="s">
        <v>1790</v>
      </c>
    </row>
    <row r="1676" spans="1:9" x14ac:dyDescent="0.3">
      <c r="A1676" t="s">
        <v>10146</v>
      </c>
      <c r="B1676" t="s">
        <v>38</v>
      </c>
      <c r="C1676">
        <v>7648876604</v>
      </c>
      <c r="D1676" s="2">
        <v>1</v>
      </c>
      <c r="E1676" t="str">
        <f>"4574674200731719"</f>
        <v>4574674200731719</v>
      </c>
      <c r="F1676" t="str">
        <f>"409"</f>
        <v>409</v>
      </c>
      <c r="G1676">
        <v>1</v>
      </c>
      <c r="H1676">
        <v>2023</v>
      </c>
      <c r="I1676" t="s">
        <v>1791</v>
      </c>
    </row>
    <row r="1677" spans="1:9" x14ac:dyDescent="0.3">
      <c r="A1677" t="s">
        <v>10146</v>
      </c>
      <c r="B1677" t="s">
        <v>38</v>
      </c>
      <c r="C1677">
        <v>7648876604</v>
      </c>
      <c r="D1677" s="2">
        <v>1</v>
      </c>
      <c r="E1677" t="str">
        <f>"4574674200731537"</f>
        <v>4574674200731537</v>
      </c>
      <c r="F1677" t="str">
        <f>"562"</f>
        <v>562</v>
      </c>
      <c r="G1677">
        <v>1</v>
      </c>
      <c r="H1677">
        <v>2023</v>
      </c>
      <c r="I1677" t="s">
        <v>1792</v>
      </c>
    </row>
    <row r="1678" spans="1:9" x14ac:dyDescent="0.3">
      <c r="A1678" t="s">
        <v>10146</v>
      </c>
      <c r="B1678" t="s">
        <v>38</v>
      </c>
      <c r="C1678">
        <v>7648876604</v>
      </c>
      <c r="D1678" s="2">
        <v>1</v>
      </c>
      <c r="E1678" t="str">
        <f>"4574674200731545"</f>
        <v>4574674200731545</v>
      </c>
      <c r="F1678" t="str">
        <f>"386"</f>
        <v>386</v>
      </c>
      <c r="G1678">
        <v>1</v>
      </c>
      <c r="H1678">
        <v>2023</v>
      </c>
      <c r="I1678" t="s">
        <v>1793</v>
      </c>
    </row>
    <row r="1679" spans="1:9" x14ac:dyDescent="0.3">
      <c r="A1679" t="s">
        <v>10146</v>
      </c>
      <c r="B1679" t="s">
        <v>38</v>
      </c>
      <c r="C1679">
        <v>7648876604</v>
      </c>
      <c r="D1679" s="2">
        <v>1</v>
      </c>
      <c r="E1679" t="str">
        <f>"4574674200731578"</f>
        <v>4574674200731578</v>
      </c>
      <c r="F1679" t="str">
        <f>"635"</f>
        <v>635</v>
      </c>
      <c r="G1679">
        <v>1</v>
      </c>
      <c r="H1679">
        <v>2023</v>
      </c>
      <c r="I1679" t="s">
        <v>1794</v>
      </c>
    </row>
    <row r="1680" spans="1:9" x14ac:dyDescent="0.3">
      <c r="A1680" t="s">
        <v>10146</v>
      </c>
      <c r="B1680" t="s">
        <v>38</v>
      </c>
      <c r="C1680">
        <v>7648876604</v>
      </c>
      <c r="D1680" s="2">
        <v>1</v>
      </c>
      <c r="E1680" t="str">
        <f>"4574674200731552"</f>
        <v>4574674200731552</v>
      </c>
      <c r="F1680" t="str">
        <f>"650"</f>
        <v>650</v>
      </c>
      <c r="G1680">
        <v>1</v>
      </c>
      <c r="H1680">
        <v>2023</v>
      </c>
      <c r="I1680" t="s">
        <v>1795</v>
      </c>
    </row>
    <row r="1681" spans="1:9" x14ac:dyDescent="0.3">
      <c r="A1681" t="s">
        <v>10147</v>
      </c>
      <c r="B1681" t="s">
        <v>39</v>
      </c>
      <c r="C1681">
        <v>7648876604</v>
      </c>
      <c r="D1681" s="2">
        <v>1</v>
      </c>
      <c r="E1681" t="str">
        <f>"4574674200731875"</f>
        <v>4574674200731875</v>
      </c>
      <c r="F1681" t="str">
        <f>"163"</f>
        <v>163</v>
      </c>
      <c r="G1681">
        <v>1</v>
      </c>
      <c r="H1681">
        <v>2023</v>
      </c>
      <c r="I1681" t="s">
        <v>1796</v>
      </c>
    </row>
    <row r="1682" spans="1:9" x14ac:dyDescent="0.3">
      <c r="A1682" t="s">
        <v>10147</v>
      </c>
      <c r="B1682" t="s">
        <v>39</v>
      </c>
      <c r="C1682">
        <v>7648876604</v>
      </c>
      <c r="D1682" s="2">
        <v>1</v>
      </c>
      <c r="E1682" t="str">
        <f>"4574674200731586"</f>
        <v>4574674200731586</v>
      </c>
      <c r="F1682" t="str">
        <f>"754"</f>
        <v>754</v>
      </c>
      <c r="G1682">
        <v>1</v>
      </c>
      <c r="H1682">
        <v>2023</v>
      </c>
      <c r="I1682" t="s">
        <v>1797</v>
      </c>
    </row>
    <row r="1683" spans="1:9" x14ac:dyDescent="0.3">
      <c r="A1683" t="s">
        <v>10147</v>
      </c>
      <c r="B1683" t="s">
        <v>39</v>
      </c>
      <c r="C1683">
        <v>7648876604</v>
      </c>
      <c r="D1683" s="2">
        <v>1</v>
      </c>
      <c r="E1683" t="str">
        <f>"4574674200732006"</f>
        <v>4574674200732006</v>
      </c>
      <c r="F1683" t="str">
        <f>"406"</f>
        <v>406</v>
      </c>
      <c r="G1683">
        <v>1</v>
      </c>
      <c r="H1683">
        <v>2023</v>
      </c>
      <c r="I1683" t="s">
        <v>1798</v>
      </c>
    </row>
    <row r="1684" spans="1:9" x14ac:dyDescent="0.3">
      <c r="A1684" t="s">
        <v>10147</v>
      </c>
      <c r="B1684" t="s">
        <v>39</v>
      </c>
      <c r="C1684">
        <v>7648876604</v>
      </c>
      <c r="D1684" s="2">
        <v>1</v>
      </c>
      <c r="E1684" t="str">
        <f>"4574674200732238"</f>
        <v>4574674200732238</v>
      </c>
      <c r="F1684" t="str">
        <f>"468"</f>
        <v>468</v>
      </c>
      <c r="G1684">
        <v>1</v>
      </c>
      <c r="H1684">
        <v>2023</v>
      </c>
      <c r="I1684" t="s">
        <v>1799</v>
      </c>
    </row>
    <row r="1685" spans="1:9" x14ac:dyDescent="0.3">
      <c r="A1685" t="s">
        <v>10147</v>
      </c>
      <c r="B1685" t="s">
        <v>39</v>
      </c>
      <c r="C1685">
        <v>7648876604</v>
      </c>
      <c r="D1685" s="2">
        <v>1</v>
      </c>
      <c r="E1685" t="str">
        <f>"4574674200732097"</f>
        <v>4574674200732097</v>
      </c>
      <c r="F1685" t="str">
        <f>"516"</f>
        <v>516</v>
      </c>
      <c r="G1685">
        <v>1</v>
      </c>
      <c r="H1685">
        <v>2023</v>
      </c>
      <c r="I1685" t="s">
        <v>1800</v>
      </c>
    </row>
    <row r="1686" spans="1:9" x14ac:dyDescent="0.3">
      <c r="A1686" t="s">
        <v>10147</v>
      </c>
      <c r="B1686" t="s">
        <v>39</v>
      </c>
      <c r="C1686">
        <v>7648876604</v>
      </c>
      <c r="D1686" s="2">
        <v>1</v>
      </c>
      <c r="E1686" t="str">
        <f>"4574674200732063"</f>
        <v>4574674200732063</v>
      </c>
      <c r="F1686" t="str">
        <f>"841"</f>
        <v>841</v>
      </c>
      <c r="G1686">
        <v>1</v>
      </c>
      <c r="H1686">
        <v>2023</v>
      </c>
      <c r="I1686" t="s">
        <v>1801</v>
      </c>
    </row>
    <row r="1687" spans="1:9" x14ac:dyDescent="0.3">
      <c r="A1687" t="s">
        <v>10147</v>
      </c>
      <c r="B1687" t="s">
        <v>39</v>
      </c>
      <c r="C1687">
        <v>7648876604</v>
      </c>
      <c r="D1687" s="2">
        <v>1</v>
      </c>
      <c r="E1687" t="str">
        <f>"4574674200732253"</f>
        <v>4574674200732253</v>
      </c>
      <c r="F1687" t="str">
        <f>"665"</f>
        <v>665</v>
      </c>
      <c r="G1687">
        <v>1</v>
      </c>
      <c r="H1687">
        <v>2023</v>
      </c>
      <c r="I1687" t="s">
        <v>1802</v>
      </c>
    </row>
    <row r="1688" spans="1:9" x14ac:dyDescent="0.3">
      <c r="A1688" t="s">
        <v>10147</v>
      </c>
      <c r="B1688" t="s">
        <v>39</v>
      </c>
      <c r="C1688">
        <v>7648876604</v>
      </c>
      <c r="D1688" s="2">
        <v>1</v>
      </c>
      <c r="E1688" t="str">
        <f>"4574674200732048"</f>
        <v>4574674200732048</v>
      </c>
      <c r="F1688" t="str">
        <f>"976"</f>
        <v>976</v>
      </c>
      <c r="G1688">
        <v>1</v>
      </c>
      <c r="H1688">
        <v>2023</v>
      </c>
      <c r="I1688" t="s">
        <v>1803</v>
      </c>
    </row>
    <row r="1689" spans="1:9" x14ac:dyDescent="0.3">
      <c r="A1689" t="s">
        <v>10147</v>
      </c>
      <c r="B1689" t="s">
        <v>39</v>
      </c>
      <c r="C1689">
        <v>7648876604</v>
      </c>
      <c r="D1689" s="2">
        <v>1</v>
      </c>
      <c r="E1689" t="str">
        <f>"4574674200732105"</f>
        <v>4574674200732105</v>
      </c>
      <c r="F1689" t="str">
        <f>"533"</f>
        <v>533</v>
      </c>
      <c r="G1689">
        <v>1</v>
      </c>
      <c r="H1689">
        <v>2023</v>
      </c>
      <c r="I1689" t="s">
        <v>1804</v>
      </c>
    </row>
    <row r="1690" spans="1:9" x14ac:dyDescent="0.3">
      <c r="A1690" t="s">
        <v>10147</v>
      </c>
      <c r="B1690" t="s">
        <v>39</v>
      </c>
      <c r="C1690">
        <v>7648876604</v>
      </c>
      <c r="D1690" s="2">
        <v>1</v>
      </c>
      <c r="E1690" t="str">
        <f>"4574674200732113"</f>
        <v>4574674200732113</v>
      </c>
      <c r="F1690" t="str">
        <f>"110"</f>
        <v>110</v>
      </c>
      <c r="G1690">
        <v>1</v>
      </c>
      <c r="H1690">
        <v>2023</v>
      </c>
      <c r="I1690" t="s">
        <v>1805</v>
      </c>
    </row>
    <row r="1691" spans="1:9" x14ac:dyDescent="0.3">
      <c r="A1691" t="s">
        <v>10148</v>
      </c>
      <c r="B1691" t="s">
        <v>40</v>
      </c>
      <c r="C1691">
        <v>7648876604</v>
      </c>
      <c r="D1691" s="2">
        <v>1</v>
      </c>
      <c r="E1691" t="str">
        <f>"4574674200732410"</f>
        <v>4574674200732410</v>
      </c>
      <c r="F1691" t="str">
        <f>"636"</f>
        <v>636</v>
      </c>
      <c r="G1691">
        <v>1</v>
      </c>
      <c r="H1691">
        <v>2023</v>
      </c>
      <c r="I1691" t="s">
        <v>1806</v>
      </c>
    </row>
    <row r="1692" spans="1:9" x14ac:dyDescent="0.3">
      <c r="A1692" t="s">
        <v>10148</v>
      </c>
      <c r="B1692" t="s">
        <v>40</v>
      </c>
      <c r="C1692">
        <v>7648876604</v>
      </c>
      <c r="D1692" s="2">
        <v>1</v>
      </c>
      <c r="E1692" t="str">
        <f>"4574674200732451"</f>
        <v>4574674200732451</v>
      </c>
      <c r="F1692" t="str">
        <f>"831"</f>
        <v>831</v>
      </c>
      <c r="G1692">
        <v>1</v>
      </c>
      <c r="H1692">
        <v>2023</v>
      </c>
      <c r="I1692" t="s">
        <v>1807</v>
      </c>
    </row>
    <row r="1693" spans="1:9" x14ac:dyDescent="0.3">
      <c r="A1693" t="s">
        <v>10148</v>
      </c>
      <c r="B1693" t="s">
        <v>40</v>
      </c>
      <c r="C1693">
        <v>7648876604</v>
      </c>
      <c r="D1693" s="2">
        <v>1</v>
      </c>
      <c r="E1693" t="str">
        <f>"4574674200732162"</f>
        <v>4574674200732162</v>
      </c>
      <c r="F1693" t="str">
        <f>"617"</f>
        <v>617</v>
      </c>
      <c r="G1693">
        <v>1</v>
      </c>
      <c r="H1693">
        <v>2023</v>
      </c>
      <c r="I1693" t="s">
        <v>1808</v>
      </c>
    </row>
    <row r="1694" spans="1:9" x14ac:dyDescent="0.3">
      <c r="A1694" t="s">
        <v>10148</v>
      </c>
      <c r="B1694" t="s">
        <v>40</v>
      </c>
      <c r="C1694">
        <v>7648876604</v>
      </c>
      <c r="D1694" s="2">
        <v>1</v>
      </c>
      <c r="E1694" t="str">
        <f>"4574674200732188"</f>
        <v>4574674200732188</v>
      </c>
      <c r="F1694" t="str">
        <f>"604"</f>
        <v>604</v>
      </c>
      <c r="G1694">
        <v>1</v>
      </c>
      <c r="H1694">
        <v>2023</v>
      </c>
      <c r="I1694" t="s">
        <v>1809</v>
      </c>
    </row>
    <row r="1695" spans="1:9" x14ac:dyDescent="0.3">
      <c r="A1695" t="s">
        <v>10148</v>
      </c>
      <c r="B1695" t="s">
        <v>40</v>
      </c>
      <c r="C1695">
        <v>7648876604</v>
      </c>
      <c r="D1695" s="2">
        <v>1</v>
      </c>
      <c r="E1695" t="str">
        <f>"4574674200732600"</f>
        <v>4574674200732600</v>
      </c>
      <c r="F1695" t="str">
        <f>"475"</f>
        <v>475</v>
      </c>
      <c r="G1695">
        <v>1</v>
      </c>
      <c r="H1695">
        <v>2023</v>
      </c>
      <c r="I1695" t="s">
        <v>1810</v>
      </c>
    </row>
    <row r="1696" spans="1:9" x14ac:dyDescent="0.3">
      <c r="A1696" t="s">
        <v>10148</v>
      </c>
      <c r="B1696" t="s">
        <v>40</v>
      </c>
      <c r="C1696">
        <v>7648876604</v>
      </c>
      <c r="D1696" s="2">
        <v>1</v>
      </c>
      <c r="E1696" t="str">
        <f>"4574674200732626"</f>
        <v>4574674200732626</v>
      </c>
      <c r="F1696" t="str">
        <f>"655"</f>
        <v>655</v>
      </c>
      <c r="G1696">
        <v>1</v>
      </c>
      <c r="H1696">
        <v>2023</v>
      </c>
      <c r="I1696" t="s">
        <v>1811</v>
      </c>
    </row>
    <row r="1697" spans="1:9" x14ac:dyDescent="0.3">
      <c r="A1697" t="s">
        <v>10148</v>
      </c>
      <c r="B1697" t="s">
        <v>40</v>
      </c>
      <c r="C1697">
        <v>7648876604</v>
      </c>
      <c r="D1697" s="2">
        <v>1</v>
      </c>
      <c r="E1697" t="str">
        <f>"4574674200732808"</f>
        <v>4574674200732808</v>
      </c>
      <c r="F1697" t="str">
        <f>"526"</f>
        <v>526</v>
      </c>
      <c r="G1697">
        <v>1</v>
      </c>
      <c r="H1697">
        <v>2023</v>
      </c>
      <c r="I1697" t="s">
        <v>1812</v>
      </c>
    </row>
    <row r="1698" spans="1:9" x14ac:dyDescent="0.3">
      <c r="A1698" t="s">
        <v>10148</v>
      </c>
      <c r="B1698" t="s">
        <v>40</v>
      </c>
      <c r="C1698">
        <v>7648876604</v>
      </c>
      <c r="D1698" s="2">
        <v>1</v>
      </c>
      <c r="E1698" t="str">
        <f>"4574674200732659"</f>
        <v>4574674200732659</v>
      </c>
      <c r="F1698" t="str">
        <f>"424"</f>
        <v>424</v>
      </c>
      <c r="G1698">
        <v>1</v>
      </c>
      <c r="H1698">
        <v>2023</v>
      </c>
      <c r="I1698" t="s">
        <v>1813</v>
      </c>
    </row>
    <row r="1699" spans="1:9" x14ac:dyDescent="0.3">
      <c r="A1699" t="s">
        <v>10148</v>
      </c>
      <c r="B1699" t="s">
        <v>40</v>
      </c>
      <c r="C1699">
        <v>7648876604</v>
      </c>
      <c r="D1699" s="2">
        <v>1</v>
      </c>
      <c r="E1699" t="str">
        <f>"4574674200732840"</f>
        <v>4574674200732840</v>
      </c>
      <c r="F1699" t="str">
        <f>"091"</f>
        <v>091</v>
      </c>
      <c r="G1699">
        <v>1</v>
      </c>
      <c r="H1699">
        <v>2023</v>
      </c>
      <c r="I1699" t="s">
        <v>1814</v>
      </c>
    </row>
    <row r="1700" spans="1:9" x14ac:dyDescent="0.3">
      <c r="A1700" t="s">
        <v>10148</v>
      </c>
      <c r="B1700" t="s">
        <v>40</v>
      </c>
      <c r="C1700">
        <v>7648876604</v>
      </c>
      <c r="D1700" s="2">
        <v>1</v>
      </c>
      <c r="E1700" t="str">
        <f>"4574674200732931"</f>
        <v>4574674200732931</v>
      </c>
      <c r="F1700" t="str">
        <f>"199"</f>
        <v>199</v>
      </c>
      <c r="G1700">
        <v>1</v>
      </c>
      <c r="H1700">
        <v>2023</v>
      </c>
      <c r="I1700" t="s">
        <v>1815</v>
      </c>
    </row>
    <row r="1701" spans="1:9" x14ac:dyDescent="0.3">
      <c r="A1701" t="s">
        <v>10149</v>
      </c>
      <c r="B1701" t="s">
        <v>41</v>
      </c>
      <c r="C1701">
        <v>7648876604</v>
      </c>
      <c r="D1701" s="2">
        <v>1</v>
      </c>
      <c r="E1701" t="str">
        <f>"4574674200732717"</f>
        <v>4574674200732717</v>
      </c>
      <c r="F1701" t="str">
        <f>"382"</f>
        <v>382</v>
      </c>
      <c r="G1701">
        <v>1</v>
      </c>
      <c r="H1701">
        <v>2023</v>
      </c>
      <c r="I1701" t="s">
        <v>1816</v>
      </c>
    </row>
    <row r="1702" spans="1:9" x14ac:dyDescent="0.3">
      <c r="A1702" t="s">
        <v>10149</v>
      </c>
      <c r="B1702" t="s">
        <v>41</v>
      </c>
      <c r="C1702">
        <v>7648876604</v>
      </c>
      <c r="D1702" s="2">
        <v>1</v>
      </c>
      <c r="E1702" t="str">
        <f>"4574674200732709"</f>
        <v>4574674200732709</v>
      </c>
      <c r="F1702" t="str">
        <f>"793"</f>
        <v>793</v>
      </c>
      <c r="G1702">
        <v>1</v>
      </c>
      <c r="H1702">
        <v>2023</v>
      </c>
      <c r="I1702" t="s">
        <v>1817</v>
      </c>
    </row>
    <row r="1703" spans="1:9" x14ac:dyDescent="0.3">
      <c r="A1703" t="s">
        <v>10149</v>
      </c>
      <c r="B1703" t="s">
        <v>41</v>
      </c>
      <c r="C1703">
        <v>7648876604</v>
      </c>
      <c r="D1703" s="2">
        <v>1</v>
      </c>
      <c r="E1703" t="str">
        <f>"4574674200732725"</f>
        <v>4574674200732725</v>
      </c>
      <c r="F1703" t="str">
        <f>"663"</f>
        <v>663</v>
      </c>
      <c r="G1703">
        <v>1</v>
      </c>
      <c r="H1703">
        <v>2023</v>
      </c>
      <c r="I1703" t="s">
        <v>1818</v>
      </c>
    </row>
    <row r="1704" spans="1:9" x14ac:dyDescent="0.3">
      <c r="A1704" t="s">
        <v>10149</v>
      </c>
      <c r="B1704" t="s">
        <v>41</v>
      </c>
      <c r="C1704">
        <v>7648876604</v>
      </c>
      <c r="D1704" s="2">
        <v>1</v>
      </c>
      <c r="E1704" t="str">
        <f>"4574674200732758"</f>
        <v>4574674200732758</v>
      </c>
      <c r="F1704" t="str">
        <f>"207"</f>
        <v>207</v>
      </c>
      <c r="G1704">
        <v>1</v>
      </c>
      <c r="H1704">
        <v>2023</v>
      </c>
      <c r="I1704" t="s">
        <v>1819</v>
      </c>
    </row>
    <row r="1705" spans="1:9" x14ac:dyDescent="0.3">
      <c r="A1705" t="s">
        <v>10149</v>
      </c>
      <c r="B1705" t="s">
        <v>41</v>
      </c>
      <c r="C1705">
        <v>7648876604</v>
      </c>
      <c r="D1705" s="2">
        <v>1</v>
      </c>
      <c r="E1705" t="str">
        <f>"4574674200732782"</f>
        <v>4574674200732782</v>
      </c>
      <c r="F1705" t="str">
        <f>"562"</f>
        <v>562</v>
      </c>
      <c r="G1705">
        <v>1</v>
      </c>
      <c r="H1705">
        <v>2023</v>
      </c>
      <c r="I1705" t="s">
        <v>1820</v>
      </c>
    </row>
    <row r="1706" spans="1:9" x14ac:dyDescent="0.3">
      <c r="A1706" t="s">
        <v>10149</v>
      </c>
      <c r="B1706" t="s">
        <v>41</v>
      </c>
      <c r="C1706">
        <v>7648876604</v>
      </c>
      <c r="D1706" s="2">
        <v>1</v>
      </c>
      <c r="E1706" t="str">
        <f>"4574674200733111"</f>
        <v>4574674200733111</v>
      </c>
      <c r="F1706" t="str">
        <f>"385"</f>
        <v>385</v>
      </c>
      <c r="G1706">
        <v>1</v>
      </c>
      <c r="H1706">
        <v>2023</v>
      </c>
      <c r="I1706" t="s">
        <v>1821</v>
      </c>
    </row>
    <row r="1707" spans="1:9" x14ac:dyDescent="0.3">
      <c r="A1707" t="s">
        <v>10149</v>
      </c>
      <c r="B1707" t="s">
        <v>41</v>
      </c>
      <c r="C1707">
        <v>7648876604</v>
      </c>
      <c r="D1707" s="2">
        <v>1</v>
      </c>
      <c r="E1707" t="str">
        <f>"4574674200733236"</f>
        <v>4574674200733236</v>
      </c>
      <c r="F1707" t="str">
        <f>"768"</f>
        <v>768</v>
      </c>
      <c r="G1707">
        <v>1</v>
      </c>
      <c r="H1707">
        <v>2023</v>
      </c>
      <c r="I1707" t="s">
        <v>1822</v>
      </c>
    </row>
    <row r="1708" spans="1:9" x14ac:dyDescent="0.3">
      <c r="A1708" t="s">
        <v>10149</v>
      </c>
      <c r="B1708" t="s">
        <v>41</v>
      </c>
      <c r="C1708">
        <v>7648876604</v>
      </c>
      <c r="D1708" s="2">
        <v>1</v>
      </c>
      <c r="E1708" t="str">
        <f>"4574674200733244"</f>
        <v>4574674200733244</v>
      </c>
      <c r="F1708" t="str">
        <f>"052"</f>
        <v>052</v>
      </c>
      <c r="G1708">
        <v>1</v>
      </c>
      <c r="H1708">
        <v>2023</v>
      </c>
      <c r="I1708" t="s">
        <v>1823</v>
      </c>
    </row>
    <row r="1709" spans="1:9" x14ac:dyDescent="0.3">
      <c r="A1709" t="s">
        <v>10149</v>
      </c>
      <c r="B1709" t="s">
        <v>41</v>
      </c>
      <c r="C1709">
        <v>7648876604</v>
      </c>
      <c r="D1709" s="2">
        <v>1</v>
      </c>
      <c r="E1709" t="str">
        <f>"4574674200733228"</f>
        <v>4574674200733228</v>
      </c>
      <c r="F1709" t="str">
        <f>"790"</f>
        <v>790</v>
      </c>
      <c r="G1709">
        <v>1</v>
      </c>
      <c r="H1709">
        <v>2023</v>
      </c>
      <c r="I1709" t="s">
        <v>1824</v>
      </c>
    </row>
    <row r="1710" spans="1:9" x14ac:dyDescent="0.3">
      <c r="A1710" t="s">
        <v>10149</v>
      </c>
      <c r="B1710" t="s">
        <v>41</v>
      </c>
      <c r="C1710">
        <v>7648876604</v>
      </c>
      <c r="D1710" s="2">
        <v>1</v>
      </c>
      <c r="E1710" t="str">
        <f>"4574674200733418"</f>
        <v>4574674200733418</v>
      </c>
      <c r="F1710" t="str">
        <f>"550"</f>
        <v>550</v>
      </c>
      <c r="G1710">
        <v>1</v>
      </c>
      <c r="H1710">
        <v>2023</v>
      </c>
      <c r="I1710" t="s">
        <v>1825</v>
      </c>
    </row>
    <row r="1711" spans="1:9" x14ac:dyDescent="0.3">
      <c r="A1711" t="s">
        <v>10150</v>
      </c>
      <c r="B1711" t="s">
        <v>42</v>
      </c>
      <c r="C1711">
        <v>7648876604</v>
      </c>
      <c r="D1711" s="2">
        <v>1</v>
      </c>
      <c r="E1711" t="str">
        <f>"4574674200733517"</f>
        <v>4574674200733517</v>
      </c>
      <c r="F1711" t="str">
        <f>"417"</f>
        <v>417</v>
      </c>
      <c r="G1711">
        <v>1</v>
      </c>
      <c r="H1711">
        <v>2023</v>
      </c>
      <c r="I1711" t="s">
        <v>1826</v>
      </c>
    </row>
    <row r="1712" spans="1:9" x14ac:dyDescent="0.3">
      <c r="A1712" t="s">
        <v>10150</v>
      </c>
      <c r="B1712" t="s">
        <v>42</v>
      </c>
      <c r="C1712">
        <v>7648876604</v>
      </c>
      <c r="D1712" s="2">
        <v>1</v>
      </c>
      <c r="E1712" t="str">
        <f>"4574674200733319"</f>
        <v>4574674200733319</v>
      </c>
      <c r="F1712" t="str">
        <f>"850"</f>
        <v>850</v>
      </c>
      <c r="G1712">
        <v>1</v>
      </c>
      <c r="H1712">
        <v>2023</v>
      </c>
      <c r="I1712" t="s">
        <v>1827</v>
      </c>
    </row>
    <row r="1713" spans="1:9" x14ac:dyDescent="0.3">
      <c r="A1713" t="s">
        <v>10150</v>
      </c>
      <c r="B1713" t="s">
        <v>42</v>
      </c>
      <c r="C1713">
        <v>7648876604</v>
      </c>
      <c r="D1713" s="2">
        <v>1</v>
      </c>
      <c r="E1713" t="str">
        <f>"4574674200733293"</f>
        <v>4574674200733293</v>
      </c>
      <c r="F1713" t="str">
        <f>"427"</f>
        <v>427</v>
      </c>
      <c r="G1713">
        <v>1</v>
      </c>
      <c r="H1713">
        <v>2023</v>
      </c>
      <c r="I1713" t="s">
        <v>1828</v>
      </c>
    </row>
    <row r="1714" spans="1:9" x14ac:dyDescent="0.3">
      <c r="A1714" t="s">
        <v>10150</v>
      </c>
      <c r="B1714" t="s">
        <v>42</v>
      </c>
      <c r="C1714">
        <v>7648876604</v>
      </c>
      <c r="D1714" s="2">
        <v>1</v>
      </c>
      <c r="E1714" t="str">
        <f>"4574674200733657"</f>
        <v>4574674200733657</v>
      </c>
      <c r="F1714" t="str">
        <f>"892"</f>
        <v>892</v>
      </c>
      <c r="G1714">
        <v>1</v>
      </c>
      <c r="H1714">
        <v>2023</v>
      </c>
      <c r="I1714" t="s">
        <v>1829</v>
      </c>
    </row>
    <row r="1715" spans="1:9" x14ac:dyDescent="0.3">
      <c r="A1715" t="s">
        <v>10150</v>
      </c>
      <c r="B1715" t="s">
        <v>42</v>
      </c>
      <c r="C1715">
        <v>7648876604</v>
      </c>
      <c r="D1715" s="2">
        <v>1</v>
      </c>
      <c r="E1715" t="str">
        <f>"4574674200733665"</f>
        <v>4574674200733665</v>
      </c>
      <c r="F1715" t="str">
        <f>"081"</f>
        <v>081</v>
      </c>
      <c r="G1715">
        <v>1</v>
      </c>
      <c r="H1715">
        <v>2023</v>
      </c>
      <c r="I1715" t="s">
        <v>1830</v>
      </c>
    </row>
    <row r="1716" spans="1:9" x14ac:dyDescent="0.3">
      <c r="A1716" t="s">
        <v>10150</v>
      </c>
      <c r="B1716" t="s">
        <v>42</v>
      </c>
      <c r="C1716">
        <v>7648876604</v>
      </c>
      <c r="D1716" s="2">
        <v>1</v>
      </c>
      <c r="E1716" t="str">
        <f>"4574674200733343"</f>
        <v>4574674200733343</v>
      </c>
      <c r="F1716" t="str">
        <f>"911"</f>
        <v>911</v>
      </c>
      <c r="G1716">
        <v>1</v>
      </c>
      <c r="H1716">
        <v>2023</v>
      </c>
      <c r="I1716" t="s">
        <v>1831</v>
      </c>
    </row>
    <row r="1717" spans="1:9" x14ac:dyDescent="0.3">
      <c r="A1717" t="s">
        <v>10150</v>
      </c>
      <c r="B1717" t="s">
        <v>42</v>
      </c>
      <c r="C1717">
        <v>7648876604</v>
      </c>
      <c r="D1717" s="2">
        <v>1</v>
      </c>
      <c r="E1717" t="str">
        <f>"4574674200733376"</f>
        <v>4574674200733376</v>
      </c>
      <c r="F1717" t="str">
        <f>"985"</f>
        <v>985</v>
      </c>
      <c r="G1717">
        <v>1</v>
      </c>
      <c r="H1717">
        <v>2023</v>
      </c>
      <c r="I1717" t="s">
        <v>1832</v>
      </c>
    </row>
    <row r="1718" spans="1:9" x14ac:dyDescent="0.3">
      <c r="A1718" t="s">
        <v>10150</v>
      </c>
      <c r="B1718" t="s">
        <v>42</v>
      </c>
      <c r="C1718">
        <v>7648876604</v>
      </c>
      <c r="D1718" s="2">
        <v>1</v>
      </c>
      <c r="E1718" t="str">
        <f>"4574674200733350"</f>
        <v>4574674200733350</v>
      </c>
      <c r="F1718" t="str">
        <f>"039"</f>
        <v>039</v>
      </c>
      <c r="G1718">
        <v>1</v>
      </c>
      <c r="H1718">
        <v>2023</v>
      </c>
      <c r="I1718" t="s">
        <v>1833</v>
      </c>
    </row>
    <row r="1719" spans="1:9" x14ac:dyDescent="0.3">
      <c r="A1719" t="s">
        <v>10150</v>
      </c>
      <c r="B1719" t="s">
        <v>42</v>
      </c>
      <c r="C1719">
        <v>7648876604</v>
      </c>
      <c r="D1719" s="2">
        <v>1</v>
      </c>
      <c r="E1719" t="str">
        <f>"4574674200733806"</f>
        <v>4574674200733806</v>
      </c>
      <c r="F1719" t="str">
        <f>"734"</f>
        <v>734</v>
      </c>
      <c r="G1719">
        <v>1</v>
      </c>
      <c r="H1719">
        <v>2023</v>
      </c>
      <c r="I1719" t="s">
        <v>1834</v>
      </c>
    </row>
    <row r="1720" spans="1:9" x14ac:dyDescent="0.3">
      <c r="A1720" t="s">
        <v>10150</v>
      </c>
      <c r="B1720" t="s">
        <v>42</v>
      </c>
      <c r="C1720">
        <v>7648876604</v>
      </c>
      <c r="D1720" s="2">
        <v>1</v>
      </c>
      <c r="E1720" t="str">
        <f>"4574674200733830"</f>
        <v>4574674200733830</v>
      </c>
      <c r="F1720" t="str">
        <f>"296"</f>
        <v>296</v>
      </c>
      <c r="G1720">
        <v>1</v>
      </c>
      <c r="H1720">
        <v>2023</v>
      </c>
      <c r="I1720" t="s">
        <v>1835</v>
      </c>
    </row>
    <row r="1721" spans="1:9" x14ac:dyDescent="0.3">
      <c r="A1721" t="s">
        <v>10147</v>
      </c>
      <c r="B1721" t="s">
        <v>39</v>
      </c>
      <c r="C1721">
        <v>7648876604</v>
      </c>
      <c r="D1721" s="2">
        <v>1</v>
      </c>
      <c r="E1721" t="str">
        <f>"4574674200733756"</f>
        <v>4574674200733756</v>
      </c>
      <c r="F1721" t="str">
        <f>"557"</f>
        <v>557</v>
      </c>
      <c r="G1721">
        <v>1</v>
      </c>
      <c r="H1721">
        <v>2023</v>
      </c>
      <c r="I1721" t="s">
        <v>1836</v>
      </c>
    </row>
    <row r="1722" spans="1:9" x14ac:dyDescent="0.3">
      <c r="A1722" t="s">
        <v>10147</v>
      </c>
      <c r="B1722" t="s">
        <v>39</v>
      </c>
      <c r="C1722">
        <v>7648876604</v>
      </c>
      <c r="D1722" s="2">
        <v>1</v>
      </c>
      <c r="E1722" t="str">
        <f>"4574674200734044"</f>
        <v>4574674200734044</v>
      </c>
      <c r="F1722" t="str">
        <f>"231"</f>
        <v>231</v>
      </c>
      <c r="G1722">
        <v>1</v>
      </c>
      <c r="H1722">
        <v>2023</v>
      </c>
      <c r="I1722" t="s">
        <v>1837</v>
      </c>
    </row>
    <row r="1723" spans="1:9" x14ac:dyDescent="0.3">
      <c r="A1723" t="s">
        <v>10147</v>
      </c>
      <c r="B1723" t="s">
        <v>39</v>
      </c>
      <c r="C1723">
        <v>7648876604</v>
      </c>
      <c r="D1723" s="2">
        <v>1</v>
      </c>
      <c r="E1723" t="str">
        <f>"4574674200734135"</f>
        <v>4574674200734135</v>
      </c>
      <c r="F1723" t="str">
        <f>"387"</f>
        <v>387</v>
      </c>
      <c r="G1723">
        <v>1</v>
      </c>
      <c r="H1723">
        <v>2023</v>
      </c>
      <c r="I1723" t="s">
        <v>1838</v>
      </c>
    </row>
    <row r="1724" spans="1:9" x14ac:dyDescent="0.3">
      <c r="A1724" t="s">
        <v>10147</v>
      </c>
      <c r="B1724" t="s">
        <v>39</v>
      </c>
      <c r="C1724">
        <v>7648876604</v>
      </c>
      <c r="D1724" s="2">
        <v>1</v>
      </c>
      <c r="E1724" t="str">
        <f>"4574674200733863"</f>
        <v>4574674200733863</v>
      </c>
      <c r="F1724" t="str">
        <f>"936"</f>
        <v>936</v>
      </c>
      <c r="G1724">
        <v>1</v>
      </c>
      <c r="H1724">
        <v>2023</v>
      </c>
      <c r="I1724" t="s">
        <v>1839</v>
      </c>
    </row>
    <row r="1725" spans="1:9" x14ac:dyDescent="0.3">
      <c r="A1725" t="s">
        <v>10147</v>
      </c>
      <c r="B1725" t="s">
        <v>39</v>
      </c>
      <c r="C1725">
        <v>7648876604</v>
      </c>
      <c r="D1725" s="2">
        <v>1</v>
      </c>
      <c r="E1725" t="str">
        <f>"4574674200734192"</f>
        <v>4574674200734192</v>
      </c>
      <c r="F1725" t="str">
        <f>"603"</f>
        <v>603</v>
      </c>
      <c r="G1725">
        <v>1</v>
      </c>
      <c r="H1725">
        <v>2023</v>
      </c>
      <c r="I1725" t="s">
        <v>1840</v>
      </c>
    </row>
    <row r="1726" spans="1:9" x14ac:dyDescent="0.3">
      <c r="A1726" t="s">
        <v>10147</v>
      </c>
      <c r="B1726" t="s">
        <v>39</v>
      </c>
      <c r="C1726">
        <v>7648876604</v>
      </c>
      <c r="D1726" s="2">
        <v>1</v>
      </c>
      <c r="E1726" t="str">
        <f>"4574674200733871"</f>
        <v>4574674200733871</v>
      </c>
      <c r="F1726" t="str">
        <f>"693"</f>
        <v>693</v>
      </c>
      <c r="G1726">
        <v>1</v>
      </c>
      <c r="H1726">
        <v>2023</v>
      </c>
      <c r="I1726" t="s">
        <v>1841</v>
      </c>
    </row>
    <row r="1727" spans="1:9" x14ac:dyDescent="0.3">
      <c r="A1727" t="s">
        <v>10147</v>
      </c>
      <c r="B1727" t="s">
        <v>39</v>
      </c>
      <c r="C1727">
        <v>7648876604</v>
      </c>
      <c r="D1727" s="2">
        <v>1</v>
      </c>
      <c r="E1727" t="str">
        <f>"4574674200733897"</f>
        <v>4574674200733897</v>
      </c>
      <c r="F1727" t="str">
        <f>"359"</f>
        <v>359</v>
      </c>
      <c r="G1727">
        <v>1</v>
      </c>
      <c r="H1727">
        <v>2023</v>
      </c>
      <c r="I1727" t="s">
        <v>1842</v>
      </c>
    </row>
    <row r="1728" spans="1:9" x14ac:dyDescent="0.3">
      <c r="A1728" t="s">
        <v>10147</v>
      </c>
      <c r="B1728" t="s">
        <v>39</v>
      </c>
      <c r="C1728">
        <v>7648876604</v>
      </c>
      <c r="D1728" s="2">
        <v>1</v>
      </c>
      <c r="E1728" t="str">
        <f>"4574674200733889"</f>
        <v>4574674200733889</v>
      </c>
      <c r="F1728" t="str">
        <f>"304"</f>
        <v>304</v>
      </c>
      <c r="G1728">
        <v>1</v>
      </c>
      <c r="H1728">
        <v>2023</v>
      </c>
      <c r="I1728" t="s">
        <v>1843</v>
      </c>
    </row>
    <row r="1729" spans="1:9" x14ac:dyDescent="0.3">
      <c r="A1729" t="s">
        <v>10147</v>
      </c>
      <c r="B1729" t="s">
        <v>39</v>
      </c>
      <c r="C1729">
        <v>7648876604</v>
      </c>
      <c r="D1729" s="2">
        <v>1</v>
      </c>
      <c r="E1729" t="str">
        <f>"4574674200733913"</f>
        <v>4574674200733913</v>
      </c>
      <c r="F1729" t="str">
        <f>"903"</f>
        <v>903</v>
      </c>
      <c r="G1729">
        <v>1</v>
      </c>
      <c r="H1729">
        <v>2023</v>
      </c>
      <c r="I1729" t="s">
        <v>1844</v>
      </c>
    </row>
    <row r="1730" spans="1:9" x14ac:dyDescent="0.3">
      <c r="A1730" t="s">
        <v>10147</v>
      </c>
      <c r="B1730" t="s">
        <v>39</v>
      </c>
      <c r="C1730">
        <v>7648876604</v>
      </c>
      <c r="D1730" s="2">
        <v>1</v>
      </c>
      <c r="E1730" t="str">
        <f>"4574674200734333"</f>
        <v>4574674200734333</v>
      </c>
      <c r="F1730" t="str">
        <f>"539"</f>
        <v>539</v>
      </c>
      <c r="G1730">
        <v>1</v>
      </c>
      <c r="H1730">
        <v>2023</v>
      </c>
      <c r="I1730" t="s">
        <v>1845</v>
      </c>
    </row>
    <row r="1731" spans="1:9" x14ac:dyDescent="0.3">
      <c r="A1731" t="s">
        <v>10148</v>
      </c>
      <c r="B1731" t="s">
        <v>40</v>
      </c>
      <c r="C1731">
        <v>7648876604</v>
      </c>
      <c r="D1731" s="2">
        <v>1</v>
      </c>
      <c r="E1731" t="str">
        <f>"4574674200734358"</f>
        <v>4574674200734358</v>
      </c>
      <c r="F1731" t="str">
        <f>"380"</f>
        <v>380</v>
      </c>
      <c r="G1731">
        <v>1</v>
      </c>
      <c r="H1731">
        <v>2023</v>
      </c>
      <c r="I1731" t="s">
        <v>1846</v>
      </c>
    </row>
    <row r="1732" spans="1:9" x14ac:dyDescent="0.3">
      <c r="A1732" t="s">
        <v>10148</v>
      </c>
      <c r="B1732" t="s">
        <v>40</v>
      </c>
      <c r="C1732">
        <v>7648876604</v>
      </c>
      <c r="D1732" s="2">
        <v>1</v>
      </c>
      <c r="E1732" t="str">
        <f>"4574674200734614"</f>
        <v>4574674200734614</v>
      </c>
      <c r="F1732" t="str">
        <f>"121"</f>
        <v>121</v>
      </c>
      <c r="G1732">
        <v>1</v>
      </c>
      <c r="H1732">
        <v>2023</v>
      </c>
      <c r="I1732" t="s">
        <v>1847</v>
      </c>
    </row>
    <row r="1733" spans="1:9" x14ac:dyDescent="0.3">
      <c r="A1733" t="s">
        <v>10148</v>
      </c>
      <c r="B1733" t="s">
        <v>40</v>
      </c>
      <c r="C1733">
        <v>7648876604</v>
      </c>
      <c r="D1733" s="2">
        <v>1</v>
      </c>
      <c r="E1733" t="str">
        <f>"4574674200733988"</f>
        <v>4574674200733988</v>
      </c>
      <c r="F1733" t="str">
        <f>"702"</f>
        <v>702</v>
      </c>
      <c r="G1733">
        <v>1</v>
      </c>
      <c r="H1733">
        <v>2023</v>
      </c>
      <c r="I1733" t="s">
        <v>1848</v>
      </c>
    </row>
    <row r="1734" spans="1:9" x14ac:dyDescent="0.3">
      <c r="A1734" t="s">
        <v>10148</v>
      </c>
      <c r="B1734" t="s">
        <v>40</v>
      </c>
      <c r="C1734">
        <v>7648876604</v>
      </c>
      <c r="D1734" s="2">
        <v>1</v>
      </c>
      <c r="E1734" t="str">
        <f>"4574674200734622"</f>
        <v>4574674200734622</v>
      </c>
      <c r="F1734" t="str">
        <f>"721"</f>
        <v>721</v>
      </c>
      <c r="G1734">
        <v>1</v>
      </c>
      <c r="H1734">
        <v>2023</v>
      </c>
      <c r="I1734" t="s">
        <v>1849</v>
      </c>
    </row>
    <row r="1735" spans="1:9" x14ac:dyDescent="0.3">
      <c r="A1735" t="s">
        <v>10148</v>
      </c>
      <c r="B1735" t="s">
        <v>40</v>
      </c>
      <c r="C1735">
        <v>7648876604</v>
      </c>
      <c r="D1735" s="2">
        <v>1</v>
      </c>
      <c r="E1735" t="str">
        <f>"4574674200734606"</f>
        <v>4574674200734606</v>
      </c>
      <c r="F1735" t="str">
        <f>"844"</f>
        <v>844</v>
      </c>
      <c r="G1735">
        <v>1</v>
      </c>
      <c r="H1735">
        <v>2023</v>
      </c>
      <c r="I1735" t="s">
        <v>1850</v>
      </c>
    </row>
    <row r="1736" spans="1:9" x14ac:dyDescent="0.3">
      <c r="A1736" t="s">
        <v>10148</v>
      </c>
      <c r="B1736" t="s">
        <v>40</v>
      </c>
      <c r="C1736">
        <v>7648876604</v>
      </c>
      <c r="D1736" s="2">
        <v>1</v>
      </c>
      <c r="E1736" t="str">
        <f>"4574674200733996"</f>
        <v>4574674200733996</v>
      </c>
      <c r="F1736" t="str">
        <f>"313"</f>
        <v>313</v>
      </c>
      <c r="G1736">
        <v>1</v>
      </c>
      <c r="H1736">
        <v>2023</v>
      </c>
      <c r="I1736" t="s">
        <v>1851</v>
      </c>
    </row>
    <row r="1737" spans="1:9" x14ac:dyDescent="0.3">
      <c r="A1737" t="s">
        <v>10148</v>
      </c>
      <c r="B1737" t="s">
        <v>40</v>
      </c>
      <c r="C1737">
        <v>7648876604</v>
      </c>
      <c r="D1737" s="2">
        <v>1</v>
      </c>
      <c r="E1737" t="str">
        <f>"4574674200734713"</f>
        <v>4574674200734713</v>
      </c>
      <c r="F1737" t="str">
        <f>"876"</f>
        <v>876</v>
      </c>
      <c r="G1737">
        <v>1</v>
      </c>
      <c r="H1737">
        <v>2023</v>
      </c>
      <c r="I1737" t="s">
        <v>1852</v>
      </c>
    </row>
    <row r="1738" spans="1:9" x14ac:dyDescent="0.3">
      <c r="A1738" t="s">
        <v>10148</v>
      </c>
      <c r="B1738" t="s">
        <v>40</v>
      </c>
      <c r="C1738">
        <v>7648876604</v>
      </c>
      <c r="D1738" s="2">
        <v>1</v>
      </c>
      <c r="E1738" t="str">
        <f>"4574674200734705"</f>
        <v>4574674200734705</v>
      </c>
      <c r="F1738" t="str">
        <f>"367"</f>
        <v>367</v>
      </c>
      <c r="G1738">
        <v>1</v>
      </c>
      <c r="H1738">
        <v>2023</v>
      </c>
      <c r="I1738" t="s">
        <v>1853</v>
      </c>
    </row>
    <row r="1739" spans="1:9" x14ac:dyDescent="0.3">
      <c r="A1739" t="s">
        <v>10148</v>
      </c>
      <c r="B1739" t="s">
        <v>40</v>
      </c>
      <c r="C1739">
        <v>7648876604</v>
      </c>
      <c r="D1739" s="2">
        <v>1</v>
      </c>
      <c r="E1739" t="str">
        <f>"4574674200734747"</f>
        <v>4574674200734747</v>
      </c>
      <c r="F1739" t="str">
        <f>"259"</f>
        <v>259</v>
      </c>
      <c r="G1739">
        <v>1</v>
      </c>
      <c r="H1739">
        <v>2023</v>
      </c>
      <c r="I1739" t="s">
        <v>1854</v>
      </c>
    </row>
    <row r="1740" spans="1:9" x14ac:dyDescent="0.3">
      <c r="A1740" t="s">
        <v>10148</v>
      </c>
      <c r="B1740" t="s">
        <v>40</v>
      </c>
      <c r="C1740">
        <v>7648876604</v>
      </c>
      <c r="D1740" s="2">
        <v>1</v>
      </c>
      <c r="E1740" t="str">
        <f>"4574674200734739"</f>
        <v>4574674200734739</v>
      </c>
      <c r="F1740" t="str">
        <f>"319"</f>
        <v>319</v>
      </c>
      <c r="G1740">
        <v>1</v>
      </c>
      <c r="H1740">
        <v>2023</v>
      </c>
      <c r="I1740" t="s">
        <v>1855</v>
      </c>
    </row>
    <row r="1741" spans="1:9" x14ac:dyDescent="0.3">
      <c r="A1741" t="s">
        <v>10149</v>
      </c>
      <c r="B1741" t="s">
        <v>41</v>
      </c>
      <c r="C1741">
        <v>7648876604</v>
      </c>
      <c r="D1741" s="2">
        <v>1</v>
      </c>
      <c r="E1741" t="str">
        <f>"4574674200734721"</f>
        <v>4574674200734721</v>
      </c>
      <c r="F1741" t="str">
        <f>"056"</f>
        <v>056</v>
      </c>
      <c r="G1741">
        <v>1</v>
      </c>
      <c r="H1741">
        <v>2023</v>
      </c>
      <c r="I1741" t="s">
        <v>1856</v>
      </c>
    </row>
    <row r="1742" spans="1:9" x14ac:dyDescent="0.3">
      <c r="A1742" t="s">
        <v>10149</v>
      </c>
      <c r="B1742" t="s">
        <v>41</v>
      </c>
      <c r="C1742">
        <v>7648876604</v>
      </c>
      <c r="D1742" s="2">
        <v>1</v>
      </c>
      <c r="E1742" t="str">
        <f>"4574674200735207"</f>
        <v>4574674200735207</v>
      </c>
      <c r="F1742" t="str">
        <f>"113"</f>
        <v>113</v>
      </c>
      <c r="G1742">
        <v>1</v>
      </c>
      <c r="H1742">
        <v>2023</v>
      </c>
      <c r="I1742" t="s">
        <v>1857</v>
      </c>
    </row>
    <row r="1743" spans="1:9" x14ac:dyDescent="0.3">
      <c r="A1743" t="s">
        <v>10149</v>
      </c>
      <c r="B1743" t="s">
        <v>41</v>
      </c>
      <c r="C1743">
        <v>7648876604</v>
      </c>
      <c r="D1743" s="2">
        <v>1</v>
      </c>
      <c r="E1743" t="str">
        <f>"4574674200735025"</f>
        <v>4574674200735025</v>
      </c>
      <c r="F1743" t="str">
        <f>"604"</f>
        <v>604</v>
      </c>
      <c r="G1743">
        <v>1</v>
      </c>
      <c r="H1743">
        <v>2023</v>
      </c>
      <c r="I1743" t="s">
        <v>1858</v>
      </c>
    </row>
    <row r="1744" spans="1:9" x14ac:dyDescent="0.3">
      <c r="A1744" t="s">
        <v>10149</v>
      </c>
      <c r="B1744" t="s">
        <v>41</v>
      </c>
      <c r="C1744">
        <v>7648876604</v>
      </c>
      <c r="D1744" s="2">
        <v>1</v>
      </c>
      <c r="E1744" t="str">
        <f>"4574674200735041"</f>
        <v>4574674200735041</v>
      </c>
      <c r="F1744" t="str">
        <f>"287"</f>
        <v>287</v>
      </c>
      <c r="G1744">
        <v>1</v>
      </c>
      <c r="H1744">
        <v>2023</v>
      </c>
      <c r="I1744" t="s">
        <v>1859</v>
      </c>
    </row>
    <row r="1745" spans="1:9" x14ac:dyDescent="0.3">
      <c r="A1745" t="s">
        <v>10149</v>
      </c>
      <c r="B1745" t="s">
        <v>41</v>
      </c>
      <c r="C1745">
        <v>7648876604</v>
      </c>
      <c r="D1745" s="2">
        <v>1</v>
      </c>
      <c r="E1745" t="str">
        <f>"4574674200735249"</f>
        <v>4574674200735249</v>
      </c>
      <c r="F1745" t="str">
        <f>"790"</f>
        <v>790</v>
      </c>
      <c r="G1745">
        <v>1</v>
      </c>
      <c r="H1745">
        <v>2023</v>
      </c>
      <c r="I1745" t="s">
        <v>1860</v>
      </c>
    </row>
    <row r="1746" spans="1:9" x14ac:dyDescent="0.3">
      <c r="A1746" t="s">
        <v>10149</v>
      </c>
      <c r="B1746" t="s">
        <v>41</v>
      </c>
      <c r="C1746">
        <v>7648876604</v>
      </c>
      <c r="D1746" s="2">
        <v>1</v>
      </c>
      <c r="E1746" t="str">
        <f>"4574674200735033"</f>
        <v>4574674200735033</v>
      </c>
      <c r="F1746" t="str">
        <f>"751"</f>
        <v>751</v>
      </c>
      <c r="G1746">
        <v>1</v>
      </c>
      <c r="H1746">
        <v>2023</v>
      </c>
      <c r="I1746" t="s">
        <v>1861</v>
      </c>
    </row>
    <row r="1747" spans="1:9" x14ac:dyDescent="0.3">
      <c r="A1747" t="s">
        <v>10149</v>
      </c>
      <c r="B1747" t="s">
        <v>41</v>
      </c>
      <c r="C1747">
        <v>7648876604</v>
      </c>
      <c r="D1747" s="2">
        <v>1</v>
      </c>
      <c r="E1747" t="str">
        <f>"4574674200735058"</f>
        <v>4574674200735058</v>
      </c>
      <c r="F1747" t="str">
        <f>"929"</f>
        <v>929</v>
      </c>
      <c r="G1747">
        <v>1</v>
      </c>
      <c r="H1747">
        <v>2023</v>
      </c>
      <c r="I1747" t="s">
        <v>1862</v>
      </c>
    </row>
    <row r="1748" spans="1:9" x14ac:dyDescent="0.3">
      <c r="A1748" t="s">
        <v>10149</v>
      </c>
      <c r="B1748" t="s">
        <v>41</v>
      </c>
      <c r="C1748">
        <v>7648876604</v>
      </c>
      <c r="D1748" s="2">
        <v>1</v>
      </c>
      <c r="E1748" t="str">
        <f>"4574674200735066"</f>
        <v>4574674200735066</v>
      </c>
      <c r="F1748" t="str">
        <f>"271"</f>
        <v>271</v>
      </c>
      <c r="G1748">
        <v>1</v>
      </c>
      <c r="H1748">
        <v>2023</v>
      </c>
      <c r="I1748" t="s">
        <v>1863</v>
      </c>
    </row>
    <row r="1749" spans="1:9" x14ac:dyDescent="0.3">
      <c r="A1749" t="s">
        <v>10149</v>
      </c>
      <c r="B1749" t="s">
        <v>41</v>
      </c>
      <c r="C1749">
        <v>7648876604</v>
      </c>
      <c r="D1749" s="2">
        <v>1</v>
      </c>
      <c r="E1749" t="str">
        <f>"4574674200735389"</f>
        <v>4574674200735389</v>
      </c>
      <c r="F1749" t="str">
        <f>"729"</f>
        <v>729</v>
      </c>
      <c r="G1749">
        <v>1</v>
      </c>
      <c r="H1749">
        <v>2023</v>
      </c>
      <c r="I1749" t="s">
        <v>1864</v>
      </c>
    </row>
    <row r="1750" spans="1:9" x14ac:dyDescent="0.3">
      <c r="A1750" t="s">
        <v>10149</v>
      </c>
      <c r="B1750" t="s">
        <v>41</v>
      </c>
      <c r="C1750">
        <v>7648876604</v>
      </c>
      <c r="D1750" s="2">
        <v>1</v>
      </c>
      <c r="E1750" t="str">
        <f>"4574674200735447"</f>
        <v>4574674200735447</v>
      </c>
      <c r="F1750" t="str">
        <f>"321"</f>
        <v>321</v>
      </c>
      <c r="G1750">
        <v>1</v>
      </c>
      <c r="H1750">
        <v>2023</v>
      </c>
      <c r="I1750" t="s">
        <v>1865</v>
      </c>
    </row>
    <row r="1751" spans="1:9" x14ac:dyDescent="0.3">
      <c r="A1751" t="s">
        <v>10150</v>
      </c>
      <c r="B1751" t="s">
        <v>42</v>
      </c>
      <c r="C1751">
        <v>7648876604</v>
      </c>
      <c r="D1751" s="2">
        <v>1</v>
      </c>
      <c r="E1751" t="str">
        <f>"4574674200735173"</f>
        <v>4574674200735173</v>
      </c>
      <c r="F1751" t="str">
        <f>"235"</f>
        <v>235</v>
      </c>
      <c r="G1751">
        <v>1</v>
      </c>
      <c r="H1751">
        <v>2023</v>
      </c>
      <c r="I1751" t="s">
        <v>1866</v>
      </c>
    </row>
    <row r="1752" spans="1:9" x14ac:dyDescent="0.3">
      <c r="A1752" t="s">
        <v>10150</v>
      </c>
      <c r="B1752" t="s">
        <v>42</v>
      </c>
      <c r="C1752">
        <v>7648876604</v>
      </c>
      <c r="D1752" s="2">
        <v>1</v>
      </c>
      <c r="E1752" t="str">
        <f>"4574674200735165"</f>
        <v>4574674200735165</v>
      </c>
      <c r="F1752" t="str">
        <f>"979"</f>
        <v>979</v>
      </c>
      <c r="G1752">
        <v>1</v>
      </c>
      <c r="H1752">
        <v>2023</v>
      </c>
      <c r="I1752" t="s">
        <v>1867</v>
      </c>
    </row>
    <row r="1753" spans="1:9" x14ac:dyDescent="0.3">
      <c r="A1753" t="s">
        <v>10150</v>
      </c>
      <c r="B1753" t="s">
        <v>42</v>
      </c>
      <c r="C1753">
        <v>7648876604</v>
      </c>
      <c r="D1753" s="2">
        <v>1</v>
      </c>
      <c r="E1753" t="str">
        <f>"4574674200735157"</f>
        <v>4574674200735157</v>
      </c>
      <c r="F1753" t="str">
        <f>"676"</f>
        <v>676</v>
      </c>
      <c r="G1753">
        <v>1</v>
      </c>
      <c r="H1753">
        <v>2023</v>
      </c>
      <c r="I1753" t="s">
        <v>1868</v>
      </c>
    </row>
    <row r="1754" spans="1:9" x14ac:dyDescent="0.3">
      <c r="A1754" t="s">
        <v>10150</v>
      </c>
      <c r="B1754" t="s">
        <v>42</v>
      </c>
      <c r="C1754">
        <v>7648876604</v>
      </c>
      <c r="D1754" s="2">
        <v>1</v>
      </c>
      <c r="E1754" t="str">
        <f>"4574674200735140"</f>
        <v>4574674200735140</v>
      </c>
      <c r="F1754" t="str">
        <f>"925"</f>
        <v>925</v>
      </c>
      <c r="G1754">
        <v>1</v>
      </c>
      <c r="H1754">
        <v>2023</v>
      </c>
      <c r="I1754" t="s">
        <v>1869</v>
      </c>
    </row>
    <row r="1755" spans="1:9" x14ac:dyDescent="0.3">
      <c r="A1755" t="s">
        <v>10150</v>
      </c>
      <c r="B1755" t="s">
        <v>42</v>
      </c>
      <c r="C1755">
        <v>7648876604</v>
      </c>
      <c r="D1755" s="2">
        <v>1</v>
      </c>
      <c r="E1755" t="str">
        <f>"4574674200735181"</f>
        <v>4574674200735181</v>
      </c>
      <c r="F1755" t="str">
        <f>"085"</f>
        <v>085</v>
      </c>
      <c r="G1755">
        <v>1</v>
      </c>
      <c r="H1755">
        <v>2023</v>
      </c>
      <c r="I1755" t="s">
        <v>1870</v>
      </c>
    </row>
    <row r="1756" spans="1:9" x14ac:dyDescent="0.3">
      <c r="A1756" t="s">
        <v>10150</v>
      </c>
      <c r="B1756" t="s">
        <v>42</v>
      </c>
      <c r="C1756">
        <v>7648876604</v>
      </c>
      <c r="D1756" s="2">
        <v>1</v>
      </c>
      <c r="E1756" t="str">
        <f>"4574674200735553"</f>
        <v>4574674200735553</v>
      </c>
      <c r="F1756" t="str">
        <f>"376"</f>
        <v>376</v>
      </c>
      <c r="G1756">
        <v>1</v>
      </c>
      <c r="H1756">
        <v>2023</v>
      </c>
      <c r="I1756" t="s">
        <v>1871</v>
      </c>
    </row>
    <row r="1757" spans="1:9" x14ac:dyDescent="0.3">
      <c r="A1757" t="s">
        <v>10150</v>
      </c>
      <c r="B1757" t="s">
        <v>42</v>
      </c>
      <c r="C1757">
        <v>7648876604</v>
      </c>
      <c r="D1757" s="2">
        <v>1</v>
      </c>
      <c r="E1757" t="str">
        <f>"4574674200735561"</f>
        <v>4574674200735561</v>
      </c>
      <c r="F1757" t="str">
        <f>"280"</f>
        <v>280</v>
      </c>
      <c r="G1757">
        <v>1</v>
      </c>
      <c r="H1757">
        <v>2023</v>
      </c>
      <c r="I1757" t="s">
        <v>1872</v>
      </c>
    </row>
    <row r="1758" spans="1:9" x14ac:dyDescent="0.3">
      <c r="A1758" t="s">
        <v>10150</v>
      </c>
      <c r="B1758" t="s">
        <v>42</v>
      </c>
      <c r="C1758">
        <v>7648876604</v>
      </c>
      <c r="D1758" s="2">
        <v>1</v>
      </c>
      <c r="E1758" t="str">
        <f>"4574674200735876"</f>
        <v>4574674200735876</v>
      </c>
      <c r="F1758" t="str">
        <f>"115"</f>
        <v>115</v>
      </c>
      <c r="G1758">
        <v>1</v>
      </c>
      <c r="H1758">
        <v>2023</v>
      </c>
      <c r="I1758" t="s">
        <v>1873</v>
      </c>
    </row>
    <row r="1759" spans="1:9" x14ac:dyDescent="0.3">
      <c r="A1759" t="s">
        <v>10150</v>
      </c>
      <c r="B1759" t="s">
        <v>42</v>
      </c>
      <c r="C1759">
        <v>7648876604</v>
      </c>
      <c r="D1759" s="2">
        <v>1</v>
      </c>
      <c r="E1759" t="str">
        <f>"4574674200735934"</f>
        <v>4574674200735934</v>
      </c>
      <c r="F1759" t="str">
        <f>"566"</f>
        <v>566</v>
      </c>
      <c r="G1759">
        <v>1</v>
      </c>
      <c r="H1759">
        <v>2023</v>
      </c>
      <c r="I1759" t="s">
        <v>1874</v>
      </c>
    </row>
    <row r="1760" spans="1:9" x14ac:dyDescent="0.3">
      <c r="A1760" t="s">
        <v>10150</v>
      </c>
      <c r="B1760" t="s">
        <v>42</v>
      </c>
      <c r="C1760">
        <v>7648876604</v>
      </c>
      <c r="D1760" s="2">
        <v>1</v>
      </c>
      <c r="E1760" t="str">
        <f>"4574674200735678"</f>
        <v>4574674200735678</v>
      </c>
      <c r="F1760" t="str">
        <f>"923"</f>
        <v>923</v>
      </c>
      <c r="G1760">
        <v>1</v>
      </c>
      <c r="H1760">
        <v>2023</v>
      </c>
      <c r="I1760" t="s">
        <v>1875</v>
      </c>
    </row>
    <row r="1761" spans="1:9" x14ac:dyDescent="0.3">
      <c r="A1761" t="s">
        <v>10151</v>
      </c>
      <c r="B1761" t="s">
        <v>43</v>
      </c>
      <c r="C1761">
        <v>7648876604</v>
      </c>
      <c r="D1761" s="2">
        <v>1</v>
      </c>
      <c r="E1761" t="str">
        <f>"4574674200735686"</f>
        <v>4574674200735686</v>
      </c>
      <c r="F1761" t="str">
        <f>"067"</f>
        <v>067</v>
      </c>
      <c r="G1761">
        <v>1</v>
      </c>
      <c r="H1761">
        <v>2023</v>
      </c>
      <c r="I1761" t="s">
        <v>1876</v>
      </c>
    </row>
    <row r="1762" spans="1:9" x14ac:dyDescent="0.3">
      <c r="A1762" t="s">
        <v>10151</v>
      </c>
      <c r="B1762" t="s">
        <v>43</v>
      </c>
      <c r="C1762">
        <v>7648876604</v>
      </c>
      <c r="D1762" s="2">
        <v>1</v>
      </c>
      <c r="E1762" t="str">
        <f>"4574674200735694"</f>
        <v>4574674200735694</v>
      </c>
      <c r="F1762" t="str">
        <f>"802"</f>
        <v>802</v>
      </c>
      <c r="G1762">
        <v>1</v>
      </c>
      <c r="H1762">
        <v>2023</v>
      </c>
      <c r="I1762" t="s">
        <v>1877</v>
      </c>
    </row>
    <row r="1763" spans="1:9" x14ac:dyDescent="0.3">
      <c r="A1763" t="s">
        <v>10151</v>
      </c>
      <c r="B1763" t="s">
        <v>43</v>
      </c>
      <c r="C1763">
        <v>7648876604</v>
      </c>
      <c r="D1763" s="2">
        <v>1</v>
      </c>
      <c r="E1763" t="str">
        <f>"4574674200736031"</f>
        <v>4574674200736031</v>
      </c>
      <c r="F1763" t="str">
        <f>"521"</f>
        <v>521</v>
      </c>
      <c r="G1763">
        <v>1</v>
      </c>
      <c r="H1763">
        <v>2023</v>
      </c>
      <c r="I1763" t="s">
        <v>1878</v>
      </c>
    </row>
    <row r="1764" spans="1:9" x14ac:dyDescent="0.3">
      <c r="A1764" t="s">
        <v>10151</v>
      </c>
      <c r="B1764" t="s">
        <v>43</v>
      </c>
      <c r="C1764">
        <v>7648876604</v>
      </c>
      <c r="D1764" s="2">
        <v>1</v>
      </c>
      <c r="E1764" t="str">
        <f>"4574674200735710"</f>
        <v>4574674200735710</v>
      </c>
      <c r="F1764" t="str">
        <f>"582"</f>
        <v>582</v>
      </c>
      <c r="G1764">
        <v>1</v>
      </c>
      <c r="H1764">
        <v>2023</v>
      </c>
      <c r="I1764" t="s">
        <v>1879</v>
      </c>
    </row>
    <row r="1765" spans="1:9" x14ac:dyDescent="0.3">
      <c r="A1765" t="s">
        <v>10151</v>
      </c>
      <c r="B1765" t="s">
        <v>43</v>
      </c>
      <c r="C1765">
        <v>7648876604</v>
      </c>
      <c r="D1765" s="2">
        <v>1</v>
      </c>
      <c r="E1765" t="str">
        <f>"4574674200735736"</f>
        <v>4574674200735736</v>
      </c>
      <c r="F1765" t="str">
        <f>"578"</f>
        <v>578</v>
      </c>
      <c r="G1765">
        <v>1</v>
      </c>
      <c r="H1765">
        <v>2023</v>
      </c>
      <c r="I1765" t="s">
        <v>1880</v>
      </c>
    </row>
    <row r="1766" spans="1:9" x14ac:dyDescent="0.3">
      <c r="A1766" t="s">
        <v>10151</v>
      </c>
      <c r="B1766" t="s">
        <v>43</v>
      </c>
      <c r="C1766">
        <v>7648876604</v>
      </c>
      <c r="D1766" s="2">
        <v>1</v>
      </c>
      <c r="E1766" t="str">
        <f>"4574674200736114"</f>
        <v>4574674200736114</v>
      </c>
      <c r="F1766" t="str">
        <f>"302"</f>
        <v>302</v>
      </c>
      <c r="G1766">
        <v>1</v>
      </c>
      <c r="H1766">
        <v>2023</v>
      </c>
      <c r="I1766" t="s">
        <v>1881</v>
      </c>
    </row>
    <row r="1767" spans="1:9" x14ac:dyDescent="0.3">
      <c r="A1767" t="s">
        <v>10151</v>
      </c>
      <c r="B1767" t="s">
        <v>43</v>
      </c>
      <c r="C1767">
        <v>7648876604</v>
      </c>
      <c r="D1767" s="2">
        <v>1</v>
      </c>
      <c r="E1767" t="str">
        <f>"4574674200736171"</f>
        <v>4574674200736171</v>
      </c>
      <c r="F1767" t="str">
        <f>"099"</f>
        <v>099</v>
      </c>
      <c r="G1767">
        <v>1</v>
      </c>
      <c r="H1767">
        <v>2023</v>
      </c>
      <c r="I1767" t="s">
        <v>1882</v>
      </c>
    </row>
    <row r="1768" spans="1:9" x14ac:dyDescent="0.3">
      <c r="A1768" t="s">
        <v>10151</v>
      </c>
      <c r="B1768" t="s">
        <v>43</v>
      </c>
      <c r="C1768">
        <v>7648876604</v>
      </c>
      <c r="D1768" s="2">
        <v>1</v>
      </c>
      <c r="E1768" t="str">
        <f>"4574674200735793"</f>
        <v>4574674200735793</v>
      </c>
      <c r="F1768" t="str">
        <f>"989"</f>
        <v>989</v>
      </c>
      <c r="G1768">
        <v>1</v>
      </c>
      <c r="H1768">
        <v>2023</v>
      </c>
      <c r="I1768" t="s">
        <v>1883</v>
      </c>
    </row>
    <row r="1769" spans="1:9" x14ac:dyDescent="0.3">
      <c r="A1769" t="s">
        <v>10151</v>
      </c>
      <c r="B1769" t="s">
        <v>43</v>
      </c>
      <c r="C1769">
        <v>7648876604</v>
      </c>
      <c r="D1769" s="2">
        <v>1</v>
      </c>
      <c r="E1769" t="str">
        <f>"4574674200736403"</f>
        <v>4574674200736403</v>
      </c>
      <c r="F1769" t="str">
        <f>"609"</f>
        <v>609</v>
      </c>
      <c r="G1769">
        <v>1</v>
      </c>
      <c r="H1769">
        <v>2023</v>
      </c>
      <c r="I1769" t="s">
        <v>1884</v>
      </c>
    </row>
    <row r="1770" spans="1:9" x14ac:dyDescent="0.3">
      <c r="A1770" t="s">
        <v>10151</v>
      </c>
      <c r="B1770" t="s">
        <v>43</v>
      </c>
      <c r="C1770">
        <v>7648876604</v>
      </c>
      <c r="D1770" s="2">
        <v>1</v>
      </c>
      <c r="E1770" t="str">
        <f>"4574674200736437"</f>
        <v>4574674200736437</v>
      </c>
      <c r="F1770" t="str">
        <f>"879"</f>
        <v>879</v>
      </c>
      <c r="G1770">
        <v>1</v>
      </c>
      <c r="H1770">
        <v>2023</v>
      </c>
      <c r="I1770" t="s">
        <v>1885</v>
      </c>
    </row>
    <row r="1771" spans="1:9" x14ac:dyDescent="0.3">
      <c r="A1771" t="s">
        <v>10152</v>
      </c>
      <c r="B1771" t="s">
        <v>44</v>
      </c>
      <c r="C1771">
        <v>7648876604</v>
      </c>
      <c r="D1771" s="2">
        <v>1</v>
      </c>
      <c r="E1771" t="str">
        <f>"4574674200736312"</f>
        <v>4574674200736312</v>
      </c>
      <c r="F1771" t="str">
        <f>"953"</f>
        <v>953</v>
      </c>
      <c r="G1771">
        <v>1</v>
      </c>
      <c r="H1771">
        <v>2023</v>
      </c>
      <c r="I1771" t="s">
        <v>1886</v>
      </c>
    </row>
    <row r="1772" spans="1:9" x14ac:dyDescent="0.3">
      <c r="A1772" t="s">
        <v>10152</v>
      </c>
      <c r="B1772" t="s">
        <v>44</v>
      </c>
      <c r="C1772">
        <v>7648876604</v>
      </c>
      <c r="D1772" s="2">
        <v>1</v>
      </c>
      <c r="E1772" t="str">
        <f>"4574674200736452"</f>
        <v>4574674200736452</v>
      </c>
      <c r="F1772" t="str">
        <f>"443"</f>
        <v>443</v>
      </c>
      <c r="G1772">
        <v>1</v>
      </c>
      <c r="H1772">
        <v>2023</v>
      </c>
      <c r="I1772" t="s">
        <v>1887</v>
      </c>
    </row>
    <row r="1773" spans="1:9" x14ac:dyDescent="0.3">
      <c r="A1773" t="s">
        <v>10152</v>
      </c>
      <c r="B1773" t="s">
        <v>44</v>
      </c>
      <c r="C1773">
        <v>7648876604</v>
      </c>
      <c r="D1773" s="2">
        <v>1</v>
      </c>
      <c r="E1773" t="str">
        <f>"4574674200736445"</f>
        <v>4574674200736445</v>
      </c>
      <c r="F1773" t="str">
        <f>"255"</f>
        <v>255</v>
      </c>
      <c r="G1773">
        <v>1</v>
      </c>
      <c r="H1773">
        <v>2023</v>
      </c>
      <c r="I1773" t="s">
        <v>1888</v>
      </c>
    </row>
    <row r="1774" spans="1:9" x14ac:dyDescent="0.3">
      <c r="A1774" t="s">
        <v>10152</v>
      </c>
      <c r="B1774" t="s">
        <v>44</v>
      </c>
      <c r="C1774">
        <v>7648876604</v>
      </c>
      <c r="D1774" s="2">
        <v>1</v>
      </c>
      <c r="E1774" t="str">
        <f>"4574674200736676"</f>
        <v>4574674200736676</v>
      </c>
      <c r="F1774" t="str">
        <f>"655"</f>
        <v>655</v>
      </c>
      <c r="G1774">
        <v>1</v>
      </c>
      <c r="H1774">
        <v>2023</v>
      </c>
      <c r="I1774" t="s">
        <v>1889</v>
      </c>
    </row>
    <row r="1775" spans="1:9" x14ac:dyDescent="0.3">
      <c r="A1775" t="s">
        <v>10152</v>
      </c>
      <c r="B1775" t="s">
        <v>44</v>
      </c>
      <c r="C1775">
        <v>7648876604</v>
      </c>
      <c r="D1775" s="2">
        <v>1</v>
      </c>
      <c r="E1775" t="str">
        <f>"4574674200736494"</f>
        <v>4574674200736494</v>
      </c>
      <c r="F1775" t="str">
        <f>"778"</f>
        <v>778</v>
      </c>
      <c r="G1775">
        <v>1</v>
      </c>
      <c r="H1775">
        <v>2023</v>
      </c>
      <c r="I1775" t="s">
        <v>1890</v>
      </c>
    </row>
    <row r="1776" spans="1:9" x14ac:dyDescent="0.3">
      <c r="A1776" t="s">
        <v>10152</v>
      </c>
      <c r="B1776" t="s">
        <v>44</v>
      </c>
      <c r="C1776">
        <v>7648876604</v>
      </c>
      <c r="D1776" s="2">
        <v>1</v>
      </c>
      <c r="E1776" t="str">
        <f>"4574674200736528"</f>
        <v>4574674200736528</v>
      </c>
      <c r="F1776" t="str">
        <f>"909"</f>
        <v>909</v>
      </c>
      <c r="G1776">
        <v>1</v>
      </c>
      <c r="H1776">
        <v>2023</v>
      </c>
      <c r="I1776" t="s">
        <v>1891</v>
      </c>
    </row>
    <row r="1777" spans="1:9" x14ac:dyDescent="0.3">
      <c r="A1777" t="s">
        <v>10152</v>
      </c>
      <c r="B1777" t="s">
        <v>44</v>
      </c>
      <c r="C1777">
        <v>7648876604</v>
      </c>
      <c r="D1777" s="2">
        <v>1</v>
      </c>
      <c r="E1777" t="str">
        <f>"4574674200736536"</f>
        <v>4574674200736536</v>
      </c>
      <c r="F1777" t="str">
        <f>"470"</f>
        <v>470</v>
      </c>
      <c r="G1777">
        <v>1</v>
      </c>
      <c r="H1777">
        <v>2023</v>
      </c>
      <c r="I1777" t="s">
        <v>1892</v>
      </c>
    </row>
    <row r="1778" spans="1:9" x14ac:dyDescent="0.3">
      <c r="A1778" t="s">
        <v>10152</v>
      </c>
      <c r="B1778" t="s">
        <v>44</v>
      </c>
      <c r="C1778">
        <v>7648876604</v>
      </c>
      <c r="D1778" s="2">
        <v>1</v>
      </c>
      <c r="E1778" t="str">
        <f>"4574674200736775"</f>
        <v>4574674200736775</v>
      </c>
      <c r="F1778" t="str">
        <f>"208"</f>
        <v>208</v>
      </c>
      <c r="G1778">
        <v>1</v>
      </c>
      <c r="H1778">
        <v>2023</v>
      </c>
      <c r="I1778" t="s">
        <v>1893</v>
      </c>
    </row>
    <row r="1779" spans="1:9" x14ac:dyDescent="0.3">
      <c r="A1779" t="s">
        <v>10152</v>
      </c>
      <c r="B1779" t="s">
        <v>44</v>
      </c>
      <c r="C1779">
        <v>7648876604</v>
      </c>
      <c r="D1779" s="2">
        <v>1</v>
      </c>
      <c r="E1779" t="str">
        <f>"4574674200736577"</f>
        <v>4574674200736577</v>
      </c>
      <c r="F1779" t="str">
        <f>"753"</f>
        <v>753</v>
      </c>
      <c r="G1779">
        <v>1</v>
      </c>
      <c r="H1779">
        <v>2023</v>
      </c>
      <c r="I1779" t="s">
        <v>1894</v>
      </c>
    </row>
    <row r="1780" spans="1:9" x14ac:dyDescent="0.3">
      <c r="A1780" t="s">
        <v>10152</v>
      </c>
      <c r="B1780" t="s">
        <v>44</v>
      </c>
      <c r="C1780">
        <v>7648876604</v>
      </c>
      <c r="D1780" s="2">
        <v>1</v>
      </c>
      <c r="E1780" t="str">
        <f>"4574674200736569"</f>
        <v>4574674200736569</v>
      </c>
      <c r="F1780" t="str">
        <f>"210"</f>
        <v>210</v>
      </c>
      <c r="G1780">
        <v>1</v>
      </c>
      <c r="H1780">
        <v>2023</v>
      </c>
      <c r="I1780" t="s">
        <v>1895</v>
      </c>
    </row>
    <row r="1781" spans="1:9" x14ac:dyDescent="0.3">
      <c r="A1781" t="s">
        <v>10153</v>
      </c>
      <c r="B1781" t="s">
        <v>45</v>
      </c>
      <c r="C1781">
        <v>7648876604</v>
      </c>
      <c r="D1781" s="2">
        <v>1</v>
      </c>
      <c r="E1781" t="str">
        <f>"4574674200736833"</f>
        <v>4574674200736833</v>
      </c>
      <c r="F1781" t="str">
        <f>"630"</f>
        <v>630</v>
      </c>
      <c r="G1781">
        <v>1</v>
      </c>
      <c r="H1781">
        <v>2023</v>
      </c>
      <c r="I1781" t="s">
        <v>1896</v>
      </c>
    </row>
    <row r="1782" spans="1:9" x14ac:dyDescent="0.3">
      <c r="A1782" t="s">
        <v>10153</v>
      </c>
      <c r="B1782" t="s">
        <v>45</v>
      </c>
      <c r="C1782">
        <v>7648876604</v>
      </c>
      <c r="D1782" s="2">
        <v>1</v>
      </c>
      <c r="E1782" t="str">
        <f>"4574674200737013"</f>
        <v>4574674200737013</v>
      </c>
      <c r="F1782" t="str">
        <f>"586"</f>
        <v>586</v>
      </c>
      <c r="G1782">
        <v>1</v>
      </c>
      <c r="H1782">
        <v>2023</v>
      </c>
      <c r="I1782" t="s">
        <v>1897</v>
      </c>
    </row>
    <row r="1783" spans="1:9" x14ac:dyDescent="0.3">
      <c r="A1783" t="s">
        <v>10153</v>
      </c>
      <c r="B1783" t="s">
        <v>45</v>
      </c>
      <c r="C1783">
        <v>7648876604</v>
      </c>
      <c r="D1783" s="2">
        <v>1</v>
      </c>
      <c r="E1783" t="str">
        <f>"4574674200736924"</f>
        <v>4574674200736924</v>
      </c>
      <c r="F1783" t="str">
        <f>"861"</f>
        <v>861</v>
      </c>
      <c r="G1783">
        <v>1</v>
      </c>
      <c r="H1783">
        <v>2023</v>
      </c>
      <c r="I1783" t="s">
        <v>1898</v>
      </c>
    </row>
    <row r="1784" spans="1:9" x14ac:dyDescent="0.3">
      <c r="A1784" t="s">
        <v>10153</v>
      </c>
      <c r="B1784" t="s">
        <v>45</v>
      </c>
      <c r="C1784">
        <v>7648876604</v>
      </c>
      <c r="D1784" s="2">
        <v>1</v>
      </c>
      <c r="E1784" t="str">
        <f>"4574674200737062"</f>
        <v>4574674200737062</v>
      </c>
      <c r="F1784" t="str">
        <f>"537"</f>
        <v>537</v>
      </c>
      <c r="G1784">
        <v>1</v>
      </c>
      <c r="H1784">
        <v>2023</v>
      </c>
      <c r="I1784" t="s">
        <v>1899</v>
      </c>
    </row>
    <row r="1785" spans="1:9" x14ac:dyDescent="0.3">
      <c r="A1785" t="s">
        <v>10153</v>
      </c>
      <c r="B1785" t="s">
        <v>45</v>
      </c>
      <c r="C1785">
        <v>7648876604</v>
      </c>
      <c r="D1785" s="2">
        <v>1</v>
      </c>
      <c r="E1785" t="str">
        <f>"4574674200737070"</f>
        <v>4574674200737070</v>
      </c>
      <c r="F1785" t="str">
        <f>"514"</f>
        <v>514</v>
      </c>
      <c r="G1785">
        <v>1</v>
      </c>
      <c r="H1785">
        <v>2023</v>
      </c>
      <c r="I1785" t="s">
        <v>1900</v>
      </c>
    </row>
    <row r="1786" spans="1:9" x14ac:dyDescent="0.3">
      <c r="A1786" t="s">
        <v>10153</v>
      </c>
      <c r="B1786" t="s">
        <v>45</v>
      </c>
      <c r="C1786">
        <v>7648876604</v>
      </c>
      <c r="D1786" s="2">
        <v>1</v>
      </c>
      <c r="E1786" t="str">
        <f>"4574674200736999"</f>
        <v>4574674200736999</v>
      </c>
      <c r="F1786" t="str">
        <f>"880"</f>
        <v>880</v>
      </c>
      <c r="G1786">
        <v>1</v>
      </c>
      <c r="H1786">
        <v>2023</v>
      </c>
      <c r="I1786" t="s">
        <v>1901</v>
      </c>
    </row>
    <row r="1787" spans="1:9" x14ac:dyDescent="0.3">
      <c r="A1787" t="s">
        <v>10153</v>
      </c>
      <c r="B1787" t="s">
        <v>45</v>
      </c>
      <c r="C1787">
        <v>7648876604</v>
      </c>
      <c r="D1787" s="2">
        <v>1</v>
      </c>
      <c r="E1787" t="str">
        <f>"4574674200737088"</f>
        <v>4574674200737088</v>
      </c>
      <c r="F1787" t="str">
        <f>"291"</f>
        <v>291</v>
      </c>
      <c r="G1787">
        <v>1</v>
      </c>
      <c r="H1787">
        <v>2023</v>
      </c>
      <c r="I1787" t="s">
        <v>1902</v>
      </c>
    </row>
    <row r="1788" spans="1:9" x14ac:dyDescent="0.3">
      <c r="A1788" t="s">
        <v>10153</v>
      </c>
      <c r="B1788" t="s">
        <v>45</v>
      </c>
      <c r="C1788">
        <v>7648876604</v>
      </c>
      <c r="D1788" s="2">
        <v>1</v>
      </c>
      <c r="E1788" t="str">
        <f>"4574674200737096"</f>
        <v>4574674200737096</v>
      </c>
      <c r="F1788" t="str">
        <f>"040"</f>
        <v>040</v>
      </c>
      <c r="G1788">
        <v>1</v>
      </c>
      <c r="H1788">
        <v>2023</v>
      </c>
      <c r="I1788" t="s">
        <v>1903</v>
      </c>
    </row>
    <row r="1789" spans="1:9" x14ac:dyDescent="0.3">
      <c r="A1789" t="s">
        <v>10153</v>
      </c>
      <c r="B1789" t="s">
        <v>45</v>
      </c>
      <c r="C1789">
        <v>7648876604</v>
      </c>
      <c r="D1789" s="2">
        <v>1</v>
      </c>
      <c r="E1789" t="str">
        <f>"4574674200737302"</f>
        <v>4574674200737302</v>
      </c>
      <c r="F1789" t="str">
        <f>"375"</f>
        <v>375</v>
      </c>
      <c r="G1789">
        <v>1</v>
      </c>
      <c r="H1789">
        <v>2023</v>
      </c>
      <c r="I1789" t="s">
        <v>1904</v>
      </c>
    </row>
    <row r="1790" spans="1:9" x14ac:dyDescent="0.3">
      <c r="A1790" t="s">
        <v>10153</v>
      </c>
      <c r="B1790" t="s">
        <v>45</v>
      </c>
      <c r="C1790">
        <v>7648876604</v>
      </c>
      <c r="D1790" s="2">
        <v>1</v>
      </c>
      <c r="E1790" t="str">
        <f>"4574674200737153"</f>
        <v>4574674200737153</v>
      </c>
      <c r="F1790" t="str">
        <f>"380"</f>
        <v>380</v>
      </c>
      <c r="G1790">
        <v>1</v>
      </c>
      <c r="H1790">
        <v>2023</v>
      </c>
      <c r="I1790" t="s">
        <v>1905</v>
      </c>
    </row>
    <row r="1791" spans="1:9" x14ac:dyDescent="0.3">
      <c r="A1791" t="s">
        <v>10142</v>
      </c>
      <c r="B1791" t="s">
        <v>34</v>
      </c>
      <c r="C1791">
        <v>7648876604</v>
      </c>
      <c r="D1791" s="2">
        <v>1</v>
      </c>
      <c r="E1791" t="str">
        <f>"4574674200737401"</f>
        <v>4574674200737401</v>
      </c>
      <c r="F1791" t="str">
        <f>"748"</f>
        <v>748</v>
      </c>
      <c r="G1791">
        <v>1</v>
      </c>
      <c r="H1791">
        <v>2023</v>
      </c>
      <c r="I1791" t="s">
        <v>1906</v>
      </c>
    </row>
    <row r="1792" spans="1:9" x14ac:dyDescent="0.3">
      <c r="A1792" t="s">
        <v>10142</v>
      </c>
      <c r="B1792" t="s">
        <v>34</v>
      </c>
      <c r="C1792">
        <v>7648876604</v>
      </c>
      <c r="D1792" s="2">
        <v>1</v>
      </c>
      <c r="E1792" t="str">
        <f>"4574674200737187"</f>
        <v>4574674200737187</v>
      </c>
      <c r="F1792" t="str">
        <f>"622"</f>
        <v>622</v>
      </c>
      <c r="G1792">
        <v>1</v>
      </c>
      <c r="H1792">
        <v>2023</v>
      </c>
      <c r="I1792" t="s">
        <v>1907</v>
      </c>
    </row>
    <row r="1793" spans="1:9" x14ac:dyDescent="0.3">
      <c r="A1793" t="s">
        <v>10142</v>
      </c>
      <c r="B1793" t="s">
        <v>34</v>
      </c>
      <c r="C1793">
        <v>7648876604</v>
      </c>
      <c r="D1793" s="2">
        <v>1</v>
      </c>
      <c r="E1793" t="str">
        <f>"4574674200737195"</f>
        <v>4574674200737195</v>
      </c>
      <c r="F1793" t="str">
        <f>"726"</f>
        <v>726</v>
      </c>
      <c r="G1793">
        <v>1</v>
      </c>
      <c r="H1793">
        <v>2023</v>
      </c>
      <c r="I1793" t="s">
        <v>1908</v>
      </c>
    </row>
    <row r="1794" spans="1:9" x14ac:dyDescent="0.3">
      <c r="A1794" t="s">
        <v>10142</v>
      </c>
      <c r="B1794" t="s">
        <v>34</v>
      </c>
      <c r="C1794">
        <v>7648876604</v>
      </c>
      <c r="D1794" s="2">
        <v>1</v>
      </c>
      <c r="E1794" t="str">
        <f>"4574674200737609"</f>
        <v>4574674200737609</v>
      </c>
      <c r="F1794" t="str">
        <f>"374"</f>
        <v>374</v>
      </c>
      <c r="G1794">
        <v>1</v>
      </c>
      <c r="H1794">
        <v>2023</v>
      </c>
      <c r="I1794" t="s">
        <v>1909</v>
      </c>
    </row>
    <row r="1795" spans="1:9" x14ac:dyDescent="0.3">
      <c r="A1795" t="s">
        <v>10142</v>
      </c>
      <c r="B1795" t="s">
        <v>34</v>
      </c>
      <c r="C1795">
        <v>7648876604</v>
      </c>
      <c r="D1795" s="2">
        <v>1</v>
      </c>
      <c r="E1795" t="str">
        <f>"4574674200737492"</f>
        <v>4574674200737492</v>
      </c>
      <c r="F1795" t="str">
        <f>"224"</f>
        <v>224</v>
      </c>
      <c r="G1795">
        <v>1</v>
      </c>
      <c r="H1795">
        <v>2023</v>
      </c>
      <c r="I1795" t="s">
        <v>1910</v>
      </c>
    </row>
    <row r="1796" spans="1:9" x14ac:dyDescent="0.3">
      <c r="A1796" t="s">
        <v>10142</v>
      </c>
      <c r="B1796" t="s">
        <v>34</v>
      </c>
      <c r="C1796">
        <v>7648876604</v>
      </c>
      <c r="D1796" s="2">
        <v>1</v>
      </c>
      <c r="E1796" t="str">
        <f>"4574674200737625"</f>
        <v>4574674200737625</v>
      </c>
      <c r="F1796" t="str">
        <f>"849"</f>
        <v>849</v>
      </c>
      <c r="G1796">
        <v>1</v>
      </c>
      <c r="H1796">
        <v>2023</v>
      </c>
      <c r="I1796" t="s">
        <v>1911</v>
      </c>
    </row>
    <row r="1797" spans="1:9" x14ac:dyDescent="0.3">
      <c r="A1797" t="s">
        <v>10142</v>
      </c>
      <c r="B1797" t="s">
        <v>34</v>
      </c>
      <c r="C1797">
        <v>7648876604</v>
      </c>
      <c r="D1797" s="2">
        <v>1</v>
      </c>
      <c r="E1797" t="str">
        <f>"4574674200737559"</f>
        <v>4574674200737559</v>
      </c>
      <c r="F1797" t="str">
        <f>"731"</f>
        <v>731</v>
      </c>
      <c r="G1797">
        <v>1</v>
      </c>
      <c r="H1797">
        <v>2023</v>
      </c>
      <c r="I1797" t="s">
        <v>1912</v>
      </c>
    </row>
    <row r="1798" spans="1:9" x14ac:dyDescent="0.3">
      <c r="A1798" t="s">
        <v>10142</v>
      </c>
      <c r="B1798" t="s">
        <v>34</v>
      </c>
      <c r="C1798">
        <v>7648876604</v>
      </c>
      <c r="D1798" s="2">
        <v>1</v>
      </c>
      <c r="E1798" t="str">
        <f>"4574674200737666"</f>
        <v>4574674200737666</v>
      </c>
      <c r="F1798" t="str">
        <f>"285"</f>
        <v>285</v>
      </c>
      <c r="G1798">
        <v>1</v>
      </c>
      <c r="H1798">
        <v>2023</v>
      </c>
      <c r="I1798" t="s">
        <v>1913</v>
      </c>
    </row>
    <row r="1799" spans="1:9" x14ac:dyDescent="0.3">
      <c r="A1799" t="s">
        <v>10142</v>
      </c>
      <c r="B1799" t="s">
        <v>34</v>
      </c>
      <c r="C1799">
        <v>7648876604</v>
      </c>
      <c r="D1799" s="2">
        <v>1</v>
      </c>
      <c r="E1799" t="str">
        <f>"4574674200737807"</f>
        <v>4574674200737807</v>
      </c>
      <c r="F1799" t="str">
        <f>"691"</f>
        <v>691</v>
      </c>
      <c r="G1799">
        <v>1</v>
      </c>
      <c r="H1799">
        <v>2023</v>
      </c>
      <c r="I1799" t="s">
        <v>1914</v>
      </c>
    </row>
    <row r="1800" spans="1:9" x14ac:dyDescent="0.3">
      <c r="A1800" t="s">
        <v>10142</v>
      </c>
      <c r="B1800" t="s">
        <v>34</v>
      </c>
      <c r="C1800">
        <v>7648876604</v>
      </c>
      <c r="D1800" s="2">
        <v>1</v>
      </c>
      <c r="E1800" t="str">
        <f>"4574674200737708"</f>
        <v>4574674200737708</v>
      </c>
      <c r="F1800" t="str">
        <f>"391"</f>
        <v>391</v>
      </c>
      <c r="G1800">
        <v>1</v>
      </c>
      <c r="H1800">
        <v>2023</v>
      </c>
      <c r="I1800" t="s">
        <v>1915</v>
      </c>
    </row>
    <row r="1801" spans="1:9" x14ac:dyDescent="0.3">
      <c r="A1801" t="s">
        <v>10154</v>
      </c>
      <c r="B1801" t="s">
        <v>46</v>
      </c>
      <c r="C1801">
        <v>7648876604</v>
      </c>
      <c r="D1801" s="2">
        <v>1</v>
      </c>
      <c r="E1801" t="str">
        <f>"4574674200737682"</f>
        <v>4574674200737682</v>
      </c>
      <c r="F1801" t="str">
        <f>"704"</f>
        <v>704</v>
      </c>
      <c r="G1801">
        <v>1</v>
      </c>
      <c r="H1801">
        <v>2023</v>
      </c>
      <c r="I1801" t="s">
        <v>1916</v>
      </c>
    </row>
    <row r="1802" spans="1:9" x14ac:dyDescent="0.3">
      <c r="A1802" t="s">
        <v>10154</v>
      </c>
      <c r="B1802" t="s">
        <v>46</v>
      </c>
      <c r="C1802">
        <v>7648876604</v>
      </c>
      <c r="D1802" s="2">
        <v>1</v>
      </c>
      <c r="E1802" t="str">
        <f>"4574674200737724"</f>
        <v>4574674200737724</v>
      </c>
      <c r="F1802" t="str">
        <f>"049"</f>
        <v>049</v>
      </c>
      <c r="G1802">
        <v>1</v>
      </c>
      <c r="H1802">
        <v>2023</v>
      </c>
      <c r="I1802" t="s">
        <v>1917</v>
      </c>
    </row>
    <row r="1803" spans="1:9" x14ac:dyDescent="0.3">
      <c r="A1803" t="s">
        <v>10154</v>
      </c>
      <c r="B1803" t="s">
        <v>46</v>
      </c>
      <c r="C1803">
        <v>7648876604</v>
      </c>
      <c r="D1803" s="2">
        <v>1</v>
      </c>
      <c r="E1803" t="str">
        <f>"4574674200737732"</f>
        <v>4574674200737732</v>
      </c>
      <c r="F1803" t="str">
        <f>"317"</f>
        <v>317</v>
      </c>
      <c r="G1803">
        <v>1</v>
      </c>
      <c r="H1803">
        <v>2023</v>
      </c>
      <c r="I1803" t="s">
        <v>1918</v>
      </c>
    </row>
    <row r="1804" spans="1:9" x14ac:dyDescent="0.3">
      <c r="A1804" t="s">
        <v>10154</v>
      </c>
      <c r="B1804" t="s">
        <v>46</v>
      </c>
      <c r="C1804">
        <v>7648876604</v>
      </c>
      <c r="D1804" s="2">
        <v>1</v>
      </c>
      <c r="E1804" t="str">
        <f>"4574674200737930"</f>
        <v>4574674200737930</v>
      </c>
      <c r="F1804" t="str">
        <f>"395"</f>
        <v>395</v>
      </c>
      <c r="G1804">
        <v>1</v>
      </c>
      <c r="H1804">
        <v>2023</v>
      </c>
      <c r="I1804" t="s">
        <v>1919</v>
      </c>
    </row>
    <row r="1805" spans="1:9" x14ac:dyDescent="0.3">
      <c r="A1805" t="s">
        <v>10154</v>
      </c>
      <c r="B1805" t="s">
        <v>46</v>
      </c>
      <c r="C1805">
        <v>7648876604</v>
      </c>
      <c r="D1805" s="2">
        <v>1</v>
      </c>
      <c r="E1805" t="str">
        <f>"4574674200737955"</f>
        <v>4574674200737955</v>
      </c>
      <c r="F1805" t="str">
        <f>"936"</f>
        <v>936</v>
      </c>
      <c r="G1805">
        <v>1</v>
      </c>
      <c r="H1805">
        <v>2023</v>
      </c>
      <c r="I1805" t="s">
        <v>1920</v>
      </c>
    </row>
    <row r="1806" spans="1:9" x14ac:dyDescent="0.3">
      <c r="A1806" t="s">
        <v>10154</v>
      </c>
      <c r="B1806" t="s">
        <v>46</v>
      </c>
      <c r="C1806">
        <v>7648876604</v>
      </c>
      <c r="D1806" s="2">
        <v>1</v>
      </c>
      <c r="E1806" t="str">
        <f>"4574674200737765"</f>
        <v>4574674200737765</v>
      </c>
      <c r="F1806" t="str">
        <f>"613"</f>
        <v>613</v>
      </c>
      <c r="G1806">
        <v>1</v>
      </c>
      <c r="H1806">
        <v>2023</v>
      </c>
      <c r="I1806" t="s">
        <v>1921</v>
      </c>
    </row>
    <row r="1807" spans="1:9" x14ac:dyDescent="0.3">
      <c r="A1807" t="s">
        <v>10154</v>
      </c>
      <c r="B1807" t="s">
        <v>46</v>
      </c>
      <c r="C1807">
        <v>7648876604</v>
      </c>
      <c r="D1807" s="2">
        <v>1</v>
      </c>
      <c r="E1807" t="str">
        <f>"4574674200738102"</f>
        <v>4574674200738102</v>
      </c>
      <c r="F1807" t="str">
        <f>"669"</f>
        <v>669</v>
      </c>
      <c r="G1807">
        <v>1</v>
      </c>
      <c r="H1807">
        <v>2023</v>
      </c>
      <c r="I1807" t="s">
        <v>1922</v>
      </c>
    </row>
    <row r="1808" spans="1:9" x14ac:dyDescent="0.3">
      <c r="A1808" t="s">
        <v>10154</v>
      </c>
      <c r="B1808" t="s">
        <v>46</v>
      </c>
      <c r="C1808">
        <v>7648876604</v>
      </c>
      <c r="D1808" s="2">
        <v>1</v>
      </c>
      <c r="E1808" t="str">
        <f>"4574674200738201"</f>
        <v>4574674200738201</v>
      </c>
      <c r="F1808" t="str">
        <f>"883"</f>
        <v>883</v>
      </c>
      <c r="G1808">
        <v>1</v>
      </c>
      <c r="H1808">
        <v>2023</v>
      </c>
      <c r="I1808" t="s">
        <v>1923</v>
      </c>
    </row>
    <row r="1809" spans="1:9" x14ac:dyDescent="0.3">
      <c r="A1809" t="s">
        <v>10154</v>
      </c>
      <c r="B1809" t="s">
        <v>46</v>
      </c>
      <c r="C1809">
        <v>7648876604</v>
      </c>
      <c r="D1809" s="2">
        <v>1</v>
      </c>
      <c r="E1809" t="str">
        <f>"4574674200738169"</f>
        <v>4574674200738169</v>
      </c>
      <c r="F1809" t="str">
        <f>"159"</f>
        <v>159</v>
      </c>
      <c r="G1809">
        <v>1</v>
      </c>
      <c r="H1809">
        <v>2023</v>
      </c>
      <c r="I1809" t="s">
        <v>1924</v>
      </c>
    </row>
    <row r="1810" spans="1:9" x14ac:dyDescent="0.3">
      <c r="A1810" t="s">
        <v>10154</v>
      </c>
      <c r="B1810" t="s">
        <v>46</v>
      </c>
      <c r="C1810">
        <v>7648876604</v>
      </c>
      <c r="D1810" s="2">
        <v>1</v>
      </c>
      <c r="E1810" t="str">
        <f>"4574674200738250"</f>
        <v>4574674200738250</v>
      </c>
      <c r="F1810" t="str">
        <f>"216"</f>
        <v>216</v>
      </c>
      <c r="G1810">
        <v>1</v>
      </c>
      <c r="H1810">
        <v>2023</v>
      </c>
      <c r="I1810" t="s">
        <v>1925</v>
      </c>
    </row>
    <row r="1811" spans="1:9" x14ac:dyDescent="0.3">
      <c r="A1811" t="s">
        <v>10155</v>
      </c>
      <c r="B1811" t="s">
        <v>47</v>
      </c>
      <c r="C1811">
        <v>7648876604</v>
      </c>
      <c r="D1811" s="2">
        <v>1</v>
      </c>
      <c r="E1811" t="str">
        <f>"4574674200738243"</f>
        <v>4574674200738243</v>
      </c>
      <c r="F1811" t="str">
        <f>"259"</f>
        <v>259</v>
      </c>
      <c r="G1811">
        <v>1</v>
      </c>
      <c r="H1811">
        <v>2023</v>
      </c>
      <c r="I1811" t="s">
        <v>1926</v>
      </c>
    </row>
    <row r="1812" spans="1:9" x14ac:dyDescent="0.3">
      <c r="A1812" t="s">
        <v>10155</v>
      </c>
      <c r="B1812" t="s">
        <v>47</v>
      </c>
      <c r="C1812">
        <v>7648876604</v>
      </c>
      <c r="D1812" s="2">
        <v>1</v>
      </c>
      <c r="E1812" t="str">
        <f>"4574674200738235"</f>
        <v>4574674200738235</v>
      </c>
      <c r="F1812" t="str">
        <f>"398"</f>
        <v>398</v>
      </c>
      <c r="G1812">
        <v>1</v>
      </c>
      <c r="H1812">
        <v>2023</v>
      </c>
      <c r="I1812" t="s">
        <v>1927</v>
      </c>
    </row>
    <row r="1813" spans="1:9" x14ac:dyDescent="0.3">
      <c r="A1813" t="s">
        <v>10155</v>
      </c>
      <c r="B1813" t="s">
        <v>47</v>
      </c>
      <c r="C1813">
        <v>7648876604</v>
      </c>
      <c r="D1813" s="2">
        <v>1</v>
      </c>
      <c r="E1813" t="str">
        <f>"4574674200738292"</f>
        <v>4574674200738292</v>
      </c>
      <c r="F1813" t="str">
        <f>"523"</f>
        <v>523</v>
      </c>
      <c r="G1813">
        <v>1</v>
      </c>
      <c r="H1813">
        <v>2023</v>
      </c>
      <c r="I1813" t="s">
        <v>1928</v>
      </c>
    </row>
    <row r="1814" spans="1:9" x14ac:dyDescent="0.3">
      <c r="A1814" t="s">
        <v>10155</v>
      </c>
      <c r="B1814" t="s">
        <v>47</v>
      </c>
      <c r="C1814">
        <v>7648876604</v>
      </c>
      <c r="D1814" s="2">
        <v>1</v>
      </c>
      <c r="E1814" t="str">
        <f>"4574674200738441"</f>
        <v>4574674200738441</v>
      </c>
      <c r="F1814" t="str">
        <f>"610"</f>
        <v>610</v>
      </c>
      <c r="G1814">
        <v>1</v>
      </c>
      <c r="H1814">
        <v>2023</v>
      </c>
      <c r="I1814" t="s">
        <v>1929</v>
      </c>
    </row>
    <row r="1815" spans="1:9" x14ac:dyDescent="0.3">
      <c r="A1815" t="s">
        <v>10155</v>
      </c>
      <c r="B1815" t="s">
        <v>47</v>
      </c>
      <c r="C1815">
        <v>7648876604</v>
      </c>
      <c r="D1815" s="2">
        <v>1</v>
      </c>
      <c r="E1815" t="str">
        <f>"4574674200738474"</f>
        <v>4574674200738474</v>
      </c>
      <c r="F1815" t="str">
        <f>"750"</f>
        <v>750</v>
      </c>
      <c r="G1815">
        <v>1</v>
      </c>
      <c r="H1815">
        <v>2023</v>
      </c>
      <c r="I1815" t="s">
        <v>1930</v>
      </c>
    </row>
    <row r="1816" spans="1:9" x14ac:dyDescent="0.3">
      <c r="A1816" t="s">
        <v>10155</v>
      </c>
      <c r="B1816" t="s">
        <v>47</v>
      </c>
      <c r="C1816">
        <v>7648876604</v>
      </c>
      <c r="D1816" s="2">
        <v>1</v>
      </c>
      <c r="E1816" t="str">
        <f>"4574674200738326"</f>
        <v>4574674200738326</v>
      </c>
      <c r="F1816" t="str">
        <f>"722"</f>
        <v>722</v>
      </c>
      <c r="G1816">
        <v>1</v>
      </c>
      <c r="H1816">
        <v>2023</v>
      </c>
      <c r="I1816" t="s">
        <v>1931</v>
      </c>
    </row>
    <row r="1817" spans="1:9" x14ac:dyDescent="0.3">
      <c r="A1817" t="s">
        <v>10155</v>
      </c>
      <c r="B1817" t="s">
        <v>47</v>
      </c>
      <c r="C1817">
        <v>7648876604</v>
      </c>
      <c r="D1817" s="2">
        <v>1</v>
      </c>
      <c r="E1817" t="str">
        <f>"4574674200738599"</f>
        <v>4574674200738599</v>
      </c>
      <c r="F1817" t="str">
        <f>"506"</f>
        <v>506</v>
      </c>
      <c r="G1817">
        <v>1</v>
      </c>
      <c r="H1817">
        <v>2023</v>
      </c>
      <c r="I1817" t="s">
        <v>1932</v>
      </c>
    </row>
    <row r="1818" spans="1:9" x14ac:dyDescent="0.3">
      <c r="A1818" t="s">
        <v>10155</v>
      </c>
      <c r="B1818" t="s">
        <v>47</v>
      </c>
      <c r="C1818">
        <v>7648876604</v>
      </c>
      <c r="D1818" s="2">
        <v>1</v>
      </c>
      <c r="E1818" t="str">
        <f>"4574674200738359"</f>
        <v>4574674200738359</v>
      </c>
      <c r="F1818" t="str">
        <f>"211"</f>
        <v>211</v>
      </c>
      <c r="G1818">
        <v>1</v>
      </c>
      <c r="H1818">
        <v>2023</v>
      </c>
      <c r="I1818" t="s">
        <v>1933</v>
      </c>
    </row>
    <row r="1819" spans="1:9" x14ac:dyDescent="0.3">
      <c r="A1819" t="s">
        <v>10155</v>
      </c>
      <c r="B1819" t="s">
        <v>47</v>
      </c>
      <c r="C1819">
        <v>7648876604</v>
      </c>
      <c r="D1819" s="2">
        <v>1</v>
      </c>
      <c r="E1819" t="str">
        <f>"4574674200738649"</f>
        <v>4574674200738649</v>
      </c>
      <c r="F1819" t="str">
        <f>"541"</f>
        <v>541</v>
      </c>
      <c r="G1819">
        <v>1</v>
      </c>
      <c r="H1819">
        <v>2023</v>
      </c>
      <c r="I1819" t="s">
        <v>1934</v>
      </c>
    </row>
    <row r="1820" spans="1:9" x14ac:dyDescent="0.3">
      <c r="A1820" t="s">
        <v>10155</v>
      </c>
      <c r="B1820" t="s">
        <v>47</v>
      </c>
      <c r="C1820">
        <v>7648876604</v>
      </c>
      <c r="D1820" s="2">
        <v>1</v>
      </c>
      <c r="E1820" t="str">
        <f>"4574674200738375"</f>
        <v>4574674200738375</v>
      </c>
      <c r="F1820" t="str">
        <f>"666"</f>
        <v>666</v>
      </c>
      <c r="G1820">
        <v>1</v>
      </c>
      <c r="H1820">
        <v>2023</v>
      </c>
      <c r="I1820" t="s">
        <v>1935</v>
      </c>
    </row>
    <row r="1821" spans="1:9" x14ac:dyDescent="0.3">
      <c r="A1821" t="s">
        <v>10156</v>
      </c>
      <c r="B1821" t="s">
        <v>48</v>
      </c>
      <c r="C1821">
        <v>7648876604</v>
      </c>
      <c r="D1821" s="2">
        <v>1</v>
      </c>
      <c r="E1821" t="str">
        <f>"4574674200738813"</f>
        <v>4574674200738813</v>
      </c>
      <c r="F1821" t="str">
        <f>"554"</f>
        <v>554</v>
      </c>
      <c r="G1821">
        <v>1</v>
      </c>
      <c r="H1821">
        <v>2023</v>
      </c>
      <c r="I1821" t="s">
        <v>1936</v>
      </c>
    </row>
    <row r="1822" spans="1:9" x14ac:dyDescent="0.3">
      <c r="A1822" t="s">
        <v>10156</v>
      </c>
      <c r="B1822" t="s">
        <v>48</v>
      </c>
      <c r="C1822">
        <v>7648876604</v>
      </c>
      <c r="D1822" s="2">
        <v>1</v>
      </c>
      <c r="E1822" t="str">
        <f>"4574674200738805"</f>
        <v>4574674200738805</v>
      </c>
      <c r="F1822" t="str">
        <f>"736"</f>
        <v>736</v>
      </c>
      <c r="G1822">
        <v>1</v>
      </c>
      <c r="H1822">
        <v>2023</v>
      </c>
      <c r="I1822" t="s">
        <v>1937</v>
      </c>
    </row>
    <row r="1823" spans="1:9" x14ac:dyDescent="0.3">
      <c r="A1823" t="s">
        <v>10156</v>
      </c>
      <c r="B1823" t="s">
        <v>48</v>
      </c>
      <c r="C1823">
        <v>7648876604</v>
      </c>
      <c r="D1823" s="2">
        <v>1</v>
      </c>
      <c r="E1823" t="str">
        <f>"4574674200738748"</f>
        <v>4574674200738748</v>
      </c>
      <c r="F1823" t="str">
        <f>"731"</f>
        <v>731</v>
      </c>
      <c r="G1823">
        <v>1</v>
      </c>
      <c r="H1823">
        <v>2023</v>
      </c>
      <c r="I1823" t="s">
        <v>1938</v>
      </c>
    </row>
    <row r="1824" spans="1:9" x14ac:dyDescent="0.3">
      <c r="A1824" t="s">
        <v>10156</v>
      </c>
      <c r="B1824" t="s">
        <v>48</v>
      </c>
      <c r="C1824">
        <v>7648876604</v>
      </c>
      <c r="D1824" s="2">
        <v>1</v>
      </c>
      <c r="E1824" t="str">
        <f>"4574674200738847"</f>
        <v>4574674200738847</v>
      </c>
      <c r="F1824" t="str">
        <f>"334"</f>
        <v>334</v>
      </c>
      <c r="G1824">
        <v>1</v>
      </c>
      <c r="H1824">
        <v>2023</v>
      </c>
      <c r="I1824" t="s">
        <v>1939</v>
      </c>
    </row>
    <row r="1825" spans="1:9" x14ac:dyDescent="0.3">
      <c r="A1825" t="s">
        <v>10156</v>
      </c>
      <c r="B1825" t="s">
        <v>48</v>
      </c>
      <c r="C1825">
        <v>7648876604</v>
      </c>
      <c r="D1825" s="2">
        <v>1</v>
      </c>
      <c r="E1825" t="str">
        <f>"4574674200739001"</f>
        <v>4574674200739001</v>
      </c>
      <c r="F1825" t="str">
        <f>"540"</f>
        <v>540</v>
      </c>
      <c r="G1825">
        <v>1</v>
      </c>
      <c r="H1825">
        <v>2023</v>
      </c>
      <c r="I1825" t="s">
        <v>1940</v>
      </c>
    </row>
    <row r="1826" spans="1:9" x14ac:dyDescent="0.3">
      <c r="A1826" t="s">
        <v>10156</v>
      </c>
      <c r="B1826" t="s">
        <v>48</v>
      </c>
      <c r="C1826">
        <v>7648876604</v>
      </c>
      <c r="D1826" s="2">
        <v>1</v>
      </c>
      <c r="E1826" t="str">
        <f>"4574674200738870"</f>
        <v>4574674200738870</v>
      </c>
      <c r="F1826" t="str">
        <f>"380"</f>
        <v>380</v>
      </c>
      <c r="G1826">
        <v>1</v>
      </c>
      <c r="H1826">
        <v>2023</v>
      </c>
      <c r="I1826" t="s">
        <v>1941</v>
      </c>
    </row>
    <row r="1827" spans="1:9" x14ac:dyDescent="0.3">
      <c r="A1827" t="s">
        <v>10156</v>
      </c>
      <c r="B1827" t="s">
        <v>48</v>
      </c>
      <c r="C1827">
        <v>7648876604</v>
      </c>
      <c r="D1827" s="2">
        <v>1</v>
      </c>
      <c r="E1827" t="str">
        <f>"4574674200738888"</f>
        <v>4574674200738888</v>
      </c>
      <c r="F1827" t="str">
        <f>"533"</f>
        <v>533</v>
      </c>
      <c r="G1827">
        <v>1</v>
      </c>
      <c r="H1827">
        <v>2023</v>
      </c>
      <c r="I1827" t="s">
        <v>1942</v>
      </c>
    </row>
    <row r="1828" spans="1:9" x14ac:dyDescent="0.3">
      <c r="A1828" t="s">
        <v>10156</v>
      </c>
      <c r="B1828" t="s">
        <v>48</v>
      </c>
      <c r="C1828">
        <v>7648876604</v>
      </c>
      <c r="D1828" s="2">
        <v>1</v>
      </c>
      <c r="E1828" t="str">
        <f>"4574674200738920"</f>
        <v>4574674200738920</v>
      </c>
      <c r="F1828" t="str">
        <f>"228"</f>
        <v>228</v>
      </c>
      <c r="G1828">
        <v>1</v>
      </c>
      <c r="H1828">
        <v>2023</v>
      </c>
      <c r="I1828" t="s">
        <v>1943</v>
      </c>
    </row>
    <row r="1829" spans="1:9" x14ac:dyDescent="0.3">
      <c r="A1829" t="s">
        <v>10156</v>
      </c>
      <c r="B1829" t="s">
        <v>48</v>
      </c>
      <c r="C1829">
        <v>7648876604</v>
      </c>
      <c r="D1829" s="2">
        <v>1</v>
      </c>
      <c r="E1829" t="str">
        <f>"4574674200738946"</f>
        <v>4574674200738946</v>
      </c>
      <c r="F1829" t="str">
        <f>"920"</f>
        <v>920</v>
      </c>
      <c r="G1829">
        <v>1</v>
      </c>
      <c r="H1829">
        <v>2023</v>
      </c>
      <c r="I1829" t="s">
        <v>1944</v>
      </c>
    </row>
    <row r="1830" spans="1:9" x14ac:dyDescent="0.3">
      <c r="A1830" t="s">
        <v>10156</v>
      </c>
      <c r="B1830" t="s">
        <v>48</v>
      </c>
      <c r="C1830">
        <v>7648876604</v>
      </c>
      <c r="D1830" s="2">
        <v>1</v>
      </c>
      <c r="E1830" t="str">
        <f>"4574674200739134"</f>
        <v>4574674200739134</v>
      </c>
      <c r="F1830" t="str">
        <f>"036"</f>
        <v>036</v>
      </c>
      <c r="G1830">
        <v>1</v>
      </c>
      <c r="H1830">
        <v>2023</v>
      </c>
      <c r="I1830" t="s">
        <v>1945</v>
      </c>
    </row>
    <row r="1831" spans="1:9" x14ac:dyDescent="0.3">
      <c r="A1831" t="s">
        <v>10139</v>
      </c>
      <c r="B1831" t="s">
        <v>31</v>
      </c>
      <c r="C1831">
        <v>7648876604</v>
      </c>
      <c r="D1831" s="2">
        <v>1</v>
      </c>
      <c r="E1831" t="str">
        <f>"4574674200739142"</f>
        <v>4574674200739142</v>
      </c>
      <c r="F1831" t="str">
        <f>"190"</f>
        <v>190</v>
      </c>
      <c r="G1831">
        <v>1</v>
      </c>
      <c r="H1831">
        <v>2023</v>
      </c>
      <c r="I1831" t="s">
        <v>1946</v>
      </c>
    </row>
    <row r="1832" spans="1:9" x14ac:dyDescent="0.3">
      <c r="A1832" t="s">
        <v>10139</v>
      </c>
      <c r="B1832" t="s">
        <v>31</v>
      </c>
      <c r="C1832">
        <v>7648876604</v>
      </c>
      <c r="D1832" s="2">
        <v>1</v>
      </c>
      <c r="E1832" t="str">
        <f>"4574674200738953"</f>
        <v>4574674200738953</v>
      </c>
      <c r="F1832" t="str">
        <f>"899"</f>
        <v>899</v>
      </c>
      <c r="G1832">
        <v>1</v>
      </c>
      <c r="H1832">
        <v>2023</v>
      </c>
      <c r="I1832" t="s">
        <v>1947</v>
      </c>
    </row>
    <row r="1833" spans="1:9" x14ac:dyDescent="0.3">
      <c r="A1833" t="s">
        <v>10139</v>
      </c>
      <c r="B1833" t="s">
        <v>31</v>
      </c>
      <c r="C1833">
        <v>7648876604</v>
      </c>
      <c r="D1833" s="2">
        <v>1</v>
      </c>
      <c r="E1833" t="str">
        <f>"4574674200738995"</f>
        <v>4574674200738995</v>
      </c>
      <c r="F1833" t="str">
        <f>"176"</f>
        <v>176</v>
      </c>
      <c r="G1833">
        <v>1</v>
      </c>
      <c r="H1833">
        <v>2023</v>
      </c>
      <c r="I1833" t="s">
        <v>1948</v>
      </c>
    </row>
    <row r="1834" spans="1:9" x14ac:dyDescent="0.3">
      <c r="A1834" t="s">
        <v>10139</v>
      </c>
      <c r="B1834" t="s">
        <v>31</v>
      </c>
      <c r="C1834">
        <v>7648876604</v>
      </c>
      <c r="D1834" s="2">
        <v>1</v>
      </c>
      <c r="E1834" t="str">
        <f>"4574674200739274"</f>
        <v>4574674200739274</v>
      </c>
      <c r="F1834" t="str">
        <f>"186"</f>
        <v>186</v>
      </c>
      <c r="G1834">
        <v>1</v>
      </c>
      <c r="H1834">
        <v>2023</v>
      </c>
      <c r="I1834" t="s">
        <v>1949</v>
      </c>
    </row>
    <row r="1835" spans="1:9" x14ac:dyDescent="0.3">
      <c r="A1835" t="s">
        <v>10139</v>
      </c>
      <c r="B1835" t="s">
        <v>31</v>
      </c>
      <c r="C1835">
        <v>7648876604</v>
      </c>
      <c r="D1835" s="2">
        <v>1</v>
      </c>
      <c r="E1835" t="str">
        <f>"4574674200739282"</f>
        <v>4574674200739282</v>
      </c>
      <c r="F1835" t="str">
        <f>"568"</f>
        <v>568</v>
      </c>
      <c r="G1835">
        <v>1</v>
      </c>
      <c r="H1835">
        <v>2023</v>
      </c>
      <c r="I1835" t="s">
        <v>1950</v>
      </c>
    </row>
    <row r="1836" spans="1:9" x14ac:dyDescent="0.3">
      <c r="A1836" t="s">
        <v>10139</v>
      </c>
      <c r="B1836" t="s">
        <v>31</v>
      </c>
      <c r="C1836">
        <v>7648876604</v>
      </c>
      <c r="D1836" s="2">
        <v>1</v>
      </c>
      <c r="E1836" t="str">
        <f>"4574674200739407"</f>
        <v>4574674200739407</v>
      </c>
      <c r="F1836" t="str">
        <f>"844"</f>
        <v>844</v>
      </c>
      <c r="G1836">
        <v>1</v>
      </c>
      <c r="H1836">
        <v>2023</v>
      </c>
      <c r="I1836" t="s">
        <v>1951</v>
      </c>
    </row>
    <row r="1837" spans="1:9" x14ac:dyDescent="0.3">
      <c r="A1837" t="s">
        <v>10139</v>
      </c>
      <c r="B1837" t="s">
        <v>31</v>
      </c>
      <c r="C1837">
        <v>7648876604</v>
      </c>
      <c r="D1837" s="2">
        <v>1</v>
      </c>
      <c r="E1837" t="str">
        <f>"4574674200739456"</f>
        <v>4574674200739456</v>
      </c>
      <c r="F1837" t="str">
        <f>"304"</f>
        <v>304</v>
      </c>
      <c r="G1837">
        <v>1</v>
      </c>
      <c r="H1837">
        <v>2023</v>
      </c>
      <c r="I1837" t="s">
        <v>1952</v>
      </c>
    </row>
    <row r="1838" spans="1:9" x14ac:dyDescent="0.3">
      <c r="A1838" t="s">
        <v>10139</v>
      </c>
      <c r="B1838" t="s">
        <v>31</v>
      </c>
      <c r="C1838">
        <v>7648876604</v>
      </c>
      <c r="D1838" s="2">
        <v>1</v>
      </c>
      <c r="E1838" t="str">
        <f>"4574674200739464"</f>
        <v>4574674200739464</v>
      </c>
      <c r="F1838" t="str">
        <f>"058"</f>
        <v>058</v>
      </c>
      <c r="G1838">
        <v>1</v>
      </c>
      <c r="H1838">
        <v>2023</v>
      </c>
      <c r="I1838" t="s">
        <v>1953</v>
      </c>
    </row>
    <row r="1839" spans="1:9" x14ac:dyDescent="0.3">
      <c r="A1839" t="s">
        <v>10139</v>
      </c>
      <c r="B1839" t="s">
        <v>31</v>
      </c>
      <c r="C1839">
        <v>7648876604</v>
      </c>
      <c r="D1839" s="2">
        <v>1</v>
      </c>
      <c r="E1839" t="str">
        <f>"4574674200739472"</f>
        <v>4574674200739472</v>
      </c>
      <c r="F1839" t="str">
        <f>"403"</f>
        <v>403</v>
      </c>
      <c r="G1839">
        <v>1</v>
      </c>
      <c r="H1839">
        <v>2023</v>
      </c>
      <c r="I1839" t="s">
        <v>1954</v>
      </c>
    </row>
    <row r="1840" spans="1:9" x14ac:dyDescent="0.3">
      <c r="A1840" t="s">
        <v>10139</v>
      </c>
      <c r="B1840" t="s">
        <v>31</v>
      </c>
      <c r="C1840">
        <v>7648876604</v>
      </c>
      <c r="D1840" s="2">
        <v>1</v>
      </c>
      <c r="E1840" t="str">
        <f>"4574674200739639"</f>
        <v>4574674200739639</v>
      </c>
      <c r="F1840" t="str">
        <f>"351"</f>
        <v>351</v>
      </c>
      <c r="G1840">
        <v>1</v>
      </c>
      <c r="H1840">
        <v>2023</v>
      </c>
      <c r="I1840" t="s">
        <v>1955</v>
      </c>
    </row>
    <row r="1841" spans="1:9" x14ac:dyDescent="0.3">
      <c r="A1841" t="s">
        <v>10138</v>
      </c>
      <c r="B1841" t="s">
        <v>30</v>
      </c>
      <c r="C1841">
        <v>7648876604</v>
      </c>
      <c r="D1841" s="2">
        <v>1</v>
      </c>
      <c r="E1841" t="str">
        <f>"4574674200739662"</f>
        <v>4574674200739662</v>
      </c>
      <c r="F1841" t="str">
        <f>"187"</f>
        <v>187</v>
      </c>
      <c r="G1841">
        <v>1</v>
      </c>
      <c r="H1841">
        <v>2023</v>
      </c>
      <c r="I1841" t="s">
        <v>1956</v>
      </c>
    </row>
    <row r="1842" spans="1:9" x14ac:dyDescent="0.3">
      <c r="A1842" t="s">
        <v>10138</v>
      </c>
      <c r="B1842" t="s">
        <v>30</v>
      </c>
      <c r="C1842">
        <v>7648876604</v>
      </c>
      <c r="D1842" s="2">
        <v>1</v>
      </c>
      <c r="E1842" t="str">
        <f>"4574674200739514"</f>
        <v>4574674200739514</v>
      </c>
      <c r="F1842" t="str">
        <f>"756"</f>
        <v>756</v>
      </c>
      <c r="G1842">
        <v>1</v>
      </c>
      <c r="H1842">
        <v>2023</v>
      </c>
      <c r="I1842" t="s">
        <v>1957</v>
      </c>
    </row>
    <row r="1843" spans="1:9" x14ac:dyDescent="0.3">
      <c r="A1843" t="s">
        <v>10138</v>
      </c>
      <c r="B1843" t="s">
        <v>30</v>
      </c>
      <c r="C1843">
        <v>7648876604</v>
      </c>
      <c r="D1843" s="2">
        <v>1</v>
      </c>
      <c r="E1843" t="str">
        <f>"4574674200739530"</f>
        <v>4574674200739530</v>
      </c>
      <c r="F1843" t="str">
        <f>"443"</f>
        <v>443</v>
      </c>
      <c r="G1843">
        <v>1</v>
      </c>
      <c r="H1843">
        <v>2023</v>
      </c>
      <c r="I1843" t="s">
        <v>1958</v>
      </c>
    </row>
    <row r="1844" spans="1:9" x14ac:dyDescent="0.3">
      <c r="A1844" t="s">
        <v>10138</v>
      </c>
      <c r="B1844" t="s">
        <v>30</v>
      </c>
      <c r="C1844">
        <v>7648876604</v>
      </c>
      <c r="D1844" s="2">
        <v>1</v>
      </c>
      <c r="E1844" t="str">
        <f>"4574674200739563"</f>
        <v>4574674200739563</v>
      </c>
      <c r="F1844" t="str">
        <f>"166"</f>
        <v>166</v>
      </c>
      <c r="G1844">
        <v>1</v>
      </c>
      <c r="H1844">
        <v>2023</v>
      </c>
      <c r="I1844" t="s">
        <v>1959</v>
      </c>
    </row>
    <row r="1845" spans="1:9" x14ac:dyDescent="0.3">
      <c r="A1845" t="s">
        <v>10138</v>
      </c>
      <c r="B1845" t="s">
        <v>30</v>
      </c>
      <c r="C1845">
        <v>7648876604</v>
      </c>
      <c r="D1845" s="2">
        <v>1</v>
      </c>
      <c r="E1845" t="str">
        <f>"4574674200739787"</f>
        <v>4574674200739787</v>
      </c>
      <c r="F1845" t="str">
        <f>"613"</f>
        <v>613</v>
      </c>
      <c r="G1845">
        <v>1</v>
      </c>
      <c r="H1845">
        <v>2023</v>
      </c>
      <c r="I1845" t="s">
        <v>1960</v>
      </c>
    </row>
    <row r="1846" spans="1:9" x14ac:dyDescent="0.3">
      <c r="A1846" t="s">
        <v>10138</v>
      </c>
      <c r="B1846" t="s">
        <v>30</v>
      </c>
      <c r="C1846">
        <v>7648876604</v>
      </c>
      <c r="D1846" s="2">
        <v>1</v>
      </c>
      <c r="E1846" t="str">
        <f>"4574674200739829"</f>
        <v>4574674200739829</v>
      </c>
      <c r="F1846" t="str">
        <f>"989"</f>
        <v>989</v>
      </c>
      <c r="G1846">
        <v>1</v>
      </c>
      <c r="H1846">
        <v>2023</v>
      </c>
      <c r="I1846" t="s">
        <v>1961</v>
      </c>
    </row>
    <row r="1847" spans="1:9" x14ac:dyDescent="0.3">
      <c r="A1847" t="s">
        <v>10138</v>
      </c>
      <c r="B1847" t="s">
        <v>30</v>
      </c>
      <c r="C1847">
        <v>7648876604</v>
      </c>
      <c r="D1847" s="2">
        <v>1</v>
      </c>
      <c r="E1847" t="str">
        <f>"4574674200739589"</f>
        <v>4574674200739589</v>
      </c>
      <c r="F1847" t="str">
        <f>"229"</f>
        <v>229</v>
      </c>
      <c r="G1847">
        <v>1</v>
      </c>
      <c r="H1847">
        <v>2023</v>
      </c>
      <c r="I1847" t="s">
        <v>1962</v>
      </c>
    </row>
    <row r="1848" spans="1:9" x14ac:dyDescent="0.3">
      <c r="A1848" t="s">
        <v>10138</v>
      </c>
      <c r="B1848" t="s">
        <v>30</v>
      </c>
      <c r="C1848">
        <v>7648876604</v>
      </c>
      <c r="D1848" s="2">
        <v>1</v>
      </c>
      <c r="E1848" t="str">
        <f>"4574674200739597"</f>
        <v>4574674200739597</v>
      </c>
      <c r="F1848" t="str">
        <f>"522"</f>
        <v>522</v>
      </c>
      <c r="G1848">
        <v>1</v>
      </c>
      <c r="H1848">
        <v>2023</v>
      </c>
      <c r="I1848" t="s">
        <v>1963</v>
      </c>
    </row>
    <row r="1849" spans="1:9" x14ac:dyDescent="0.3">
      <c r="A1849" t="s">
        <v>10138</v>
      </c>
      <c r="B1849" t="s">
        <v>30</v>
      </c>
      <c r="C1849">
        <v>7648876604</v>
      </c>
      <c r="D1849" s="2">
        <v>1</v>
      </c>
      <c r="E1849" t="str">
        <f>"4574674200740033"</f>
        <v>4574674200740033</v>
      </c>
      <c r="F1849" t="str">
        <f>"346"</f>
        <v>346</v>
      </c>
      <c r="G1849">
        <v>1</v>
      </c>
      <c r="H1849">
        <v>2023</v>
      </c>
      <c r="I1849" t="s">
        <v>1964</v>
      </c>
    </row>
    <row r="1850" spans="1:9" x14ac:dyDescent="0.3">
      <c r="A1850" t="s">
        <v>10138</v>
      </c>
      <c r="B1850" t="s">
        <v>30</v>
      </c>
      <c r="C1850">
        <v>7648876604</v>
      </c>
      <c r="D1850" s="2">
        <v>1</v>
      </c>
      <c r="E1850" t="str">
        <f>"4574674200739951"</f>
        <v>4574674200739951</v>
      </c>
      <c r="F1850" t="str">
        <f>"384"</f>
        <v>384</v>
      </c>
      <c r="G1850">
        <v>1</v>
      </c>
      <c r="H1850">
        <v>2023</v>
      </c>
      <c r="I1850" t="s">
        <v>1965</v>
      </c>
    </row>
    <row r="1851" spans="1:9" x14ac:dyDescent="0.3">
      <c r="A1851" t="s">
        <v>10157</v>
      </c>
      <c r="B1851" t="s">
        <v>49</v>
      </c>
      <c r="C1851">
        <v>7648876604</v>
      </c>
      <c r="D1851" s="2">
        <v>1</v>
      </c>
      <c r="E1851" t="str">
        <f>"4574674200739985"</f>
        <v>4574674200739985</v>
      </c>
      <c r="F1851" t="str">
        <f>"111"</f>
        <v>111</v>
      </c>
      <c r="G1851">
        <v>1</v>
      </c>
      <c r="H1851">
        <v>2023</v>
      </c>
      <c r="I1851" t="s">
        <v>1966</v>
      </c>
    </row>
    <row r="1852" spans="1:9" x14ac:dyDescent="0.3">
      <c r="A1852" t="s">
        <v>10157</v>
      </c>
      <c r="B1852" t="s">
        <v>49</v>
      </c>
      <c r="C1852">
        <v>7648876604</v>
      </c>
      <c r="D1852" s="2">
        <v>1</v>
      </c>
      <c r="E1852" t="str">
        <f>"4574674200740058"</f>
        <v>4574674200740058</v>
      </c>
      <c r="F1852" t="str">
        <f>"626"</f>
        <v>626</v>
      </c>
      <c r="G1852">
        <v>1</v>
      </c>
      <c r="H1852">
        <v>2023</v>
      </c>
      <c r="I1852" t="s">
        <v>1967</v>
      </c>
    </row>
    <row r="1853" spans="1:9" x14ac:dyDescent="0.3">
      <c r="A1853" t="s">
        <v>10157</v>
      </c>
      <c r="B1853" t="s">
        <v>49</v>
      </c>
      <c r="C1853">
        <v>7648876604</v>
      </c>
      <c r="D1853" s="2">
        <v>1</v>
      </c>
      <c r="E1853" t="str">
        <f>"4574674200740066"</f>
        <v>4574674200740066</v>
      </c>
      <c r="F1853" t="str">
        <f>"924"</f>
        <v>924</v>
      </c>
      <c r="G1853">
        <v>1</v>
      </c>
      <c r="H1853">
        <v>2023</v>
      </c>
      <c r="I1853" t="s">
        <v>1968</v>
      </c>
    </row>
    <row r="1854" spans="1:9" x14ac:dyDescent="0.3">
      <c r="A1854" t="s">
        <v>10157</v>
      </c>
      <c r="B1854" t="s">
        <v>49</v>
      </c>
      <c r="C1854">
        <v>7648876604</v>
      </c>
      <c r="D1854" s="2">
        <v>1</v>
      </c>
      <c r="E1854" t="str">
        <f>"4574674200740108"</f>
        <v>4574674200740108</v>
      </c>
      <c r="F1854" t="str">
        <f>"520"</f>
        <v>520</v>
      </c>
      <c r="G1854">
        <v>1</v>
      </c>
      <c r="H1854">
        <v>2023</v>
      </c>
      <c r="I1854" t="s">
        <v>1969</v>
      </c>
    </row>
    <row r="1855" spans="1:9" x14ac:dyDescent="0.3">
      <c r="A1855" t="s">
        <v>10157</v>
      </c>
      <c r="B1855" t="s">
        <v>49</v>
      </c>
      <c r="C1855">
        <v>7648876604</v>
      </c>
      <c r="D1855" s="2">
        <v>1</v>
      </c>
      <c r="E1855" t="str">
        <f>"4574674200740132"</f>
        <v>4574674200740132</v>
      </c>
      <c r="F1855" t="str">
        <f>"357"</f>
        <v>357</v>
      </c>
      <c r="G1855">
        <v>1</v>
      </c>
      <c r="H1855">
        <v>2023</v>
      </c>
      <c r="I1855" t="s">
        <v>1970</v>
      </c>
    </row>
    <row r="1856" spans="1:9" x14ac:dyDescent="0.3">
      <c r="A1856" t="s">
        <v>10157</v>
      </c>
      <c r="B1856" t="s">
        <v>49</v>
      </c>
      <c r="C1856">
        <v>7648876604</v>
      </c>
      <c r="D1856" s="2">
        <v>1</v>
      </c>
      <c r="E1856" t="str">
        <f>"4574674200740330"</f>
        <v>4574674200740330</v>
      </c>
      <c r="F1856" t="str">
        <f>"528"</f>
        <v>528</v>
      </c>
      <c r="G1856">
        <v>1</v>
      </c>
      <c r="H1856">
        <v>2023</v>
      </c>
      <c r="I1856" t="s">
        <v>1971</v>
      </c>
    </row>
    <row r="1857" spans="1:9" x14ac:dyDescent="0.3">
      <c r="A1857" t="s">
        <v>10157</v>
      </c>
      <c r="B1857" t="s">
        <v>49</v>
      </c>
      <c r="C1857">
        <v>7648876604</v>
      </c>
      <c r="D1857" s="2">
        <v>1</v>
      </c>
      <c r="E1857" t="str">
        <f>"4574674200740157"</f>
        <v>4574674200740157</v>
      </c>
      <c r="F1857" t="str">
        <f>"289"</f>
        <v>289</v>
      </c>
      <c r="G1857">
        <v>1</v>
      </c>
      <c r="H1857">
        <v>2023</v>
      </c>
      <c r="I1857" t="s">
        <v>1972</v>
      </c>
    </row>
    <row r="1858" spans="1:9" x14ac:dyDescent="0.3">
      <c r="A1858" t="s">
        <v>10157</v>
      </c>
      <c r="B1858" t="s">
        <v>49</v>
      </c>
      <c r="C1858">
        <v>7648876604</v>
      </c>
      <c r="D1858" s="2">
        <v>1</v>
      </c>
      <c r="E1858" t="str">
        <f>"4574674200740348"</f>
        <v>4574674200740348</v>
      </c>
      <c r="F1858" t="str">
        <f>"850"</f>
        <v>850</v>
      </c>
      <c r="G1858">
        <v>1</v>
      </c>
      <c r="H1858">
        <v>2023</v>
      </c>
      <c r="I1858" t="s">
        <v>1973</v>
      </c>
    </row>
    <row r="1859" spans="1:9" x14ac:dyDescent="0.3">
      <c r="A1859" t="s">
        <v>10157</v>
      </c>
      <c r="B1859" t="s">
        <v>49</v>
      </c>
      <c r="C1859">
        <v>7648876604</v>
      </c>
      <c r="D1859" s="2">
        <v>1</v>
      </c>
      <c r="E1859" t="str">
        <f>"4574674200740173"</f>
        <v>4574674200740173</v>
      </c>
      <c r="F1859" t="str">
        <f>"732"</f>
        <v>732</v>
      </c>
      <c r="G1859">
        <v>1</v>
      </c>
      <c r="H1859">
        <v>2023</v>
      </c>
      <c r="I1859" t="s">
        <v>1974</v>
      </c>
    </row>
    <row r="1860" spans="1:9" x14ac:dyDescent="0.3">
      <c r="A1860" t="s">
        <v>10157</v>
      </c>
      <c r="B1860" t="s">
        <v>49</v>
      </c>
      <c r="C1860">
        <v>7648876604</v>
      </c>
      <c r="D1860" s="2">
        <v>1</v>
      </c>
      <c r="E1860" t="str">
        <f>"4574674200740603"</f>
        <v>4574674200740603</v>
      </c>
      <c r="F1860" t="str">
        <f>"925"</f>
        <v>925</v>
      </c>
      <c r="G1860">
        <v>1</v>
      </c>
      <c r="H1860">
        <v>2023</v>
      </c>
      <c r="I1860" t="s">
        <v>1975</v>
      </c>
    </row>
    <row r="1861" spans="1:9" x14ac:dyDescent="0.3">
      <c r="A1861" t="s">
        <v>10158</v>
      </c>
      <c r="B1861" t="s">
        <v>50</v>
      </c>
      <c r="C1861">
        <v>7648876604</v>
      </c>
      <c r="D1861" s="2">
        <v>1</v>
      </c>
      <c r="E1861" t="str">
        <f>"4574674200740470"</f>
        <v>4574674200740470</v>
      </c>
      <c r="F1861" t="str">
        <f>"795"</f>
        <v>795</v>
      </c>
      <c r="G1861">
        <v>1</v>
      </c>
      <c r="H1861">
        <v>2023</v>
      </c>
      <c r="I1861" t="s">
        <v>1976</v>
      </c>
    </row>
    <row r="1862" spans="1:9" x14ac:dyDescent="0.3">
      <c r="A1862" t="s">
        <v>10158</v>
      </c>
      <c r="B1862" t="s">
        <v>50</v>
      </c>
      <c r="C1862">
        <v>7648876604</v>
      </c>
      <c r="D1862" s="2">
        <v>1</v>
      </c>
      <c r="E1862" t="str">
        <f>"4574674200740645"</f>
        <v>4574674200740645</v>
      </c>
      <c r="F1862" t="str">
        <f>"480"</f>
        <v>480</v>
      </c>
      <c r="G1862">
        <v>1</v>
      </c>
      <c r="H1862">
        <v>2023</v>
      </c>
      <c r="I1862" t="s">
        <v>1977</v>
      </c>
    </row>
    <row r="1863" spans="1:9" x14ac:dyDescent="0.3">
      <c r="A1863" t="s">
        <v>10158</v>
      </c>
      <c r="B1863" t="s">
        <v>50</v>
      </c>
      <c r="C1863">
        <v>7648876604</v>
      </c>
      <c r="D1863" s="2">
        <v>1</v>
      </c>
      <c r="E1863" t="str">
        <f>"4574674200740652"</f>
        <v>4574674200740652</v>
      </c>
      <c r="F1863" t="str">
        <f>"294"</f>
        <v>294</v>
      </c>
      <c r="G1863">
        <v>1</v>
      </c>
      <c r="H1863">
        <v>2023</v>
      </c>
      <c r="I1863" t="s">
        <v>1978</v>
      </c>
    </row>
    <row r="1864" spans="1:9" x14ac:dyDescent="0.3">
      <c r="A1864" t="s">
        <v>10158</v>
      </c>
      <c r="B1864" t="s">
        <v>50</v>
      </c>
      <c r="C1864">
        <v>7648876604</v>
      </c>
      <c r="D1864" s="2">
        <v>1</v>
      </c>
      <c r="E1864" t="str">
        <f>"4574674200740512"</f>
        <v>4574674200740512</v>
      </c>
      <c r="F1864" t="str">
        <f>"020"</f>
        <v>020</v>
      </c>
      <c r="G1864">
        <v>1</v>
      </c>
      <c r="H1864">
        <v>2023</v>
      </c>
      <c r="I1864" t="s">
        <v>1979</v>
      </c>
    </row>
    <row r="1865" spans="1:9" x14ac:dyDescent="0.3">
      <c r="A1865" t="s">
        <v>10158</v>
      </c>
      <c r="B1865" t="s">
        <v>50</v>
      </c>
      <c r="C1865">
        <v>7648876604</v>
      </c>
      <c r="D1865" s="2">
        <v>1</v>
      </c>
      <c r="E1865" t="str">
        <f>"4574674200740678"</f>
        <v>4574674200740678</v>
      </c>
      <c r="F1865" t="str">
        <f>"800"</f>
        <v>800</v>
      </c>
      <c r="G1865">
        <v>1</v>
      </c>
      <c r="H1865">
        <v>2023</v>
      </c>
      <c r="I1865" t="s">
        <v>1980</v>
      </c>
    </row>
    <row r="1866" spans="1:9" x14ac:dyDescent="0.3">
      <c r="A1866" t="s">
        <v>10158</v>
      </c>
      <c r="B1866" t="s">
        <v>50</v>
      </c>
      <c r="C1866">
        <v>7648876604</v>
      </c>
      <c r="D1866" s="2">
        <v>1</v>
      </c>
      <c r="E1866" t="str">
        <f>"4574674200740835"</f>
        <v>4574674200740835</v>
      </c>
      <c r="F1866" t="str">
        <f>"676"</f>
        <v>676</v>
      </c>
      <c r="G1866">
        <v>1</v>
      </c>
      <c r="H1866">
        <v>2023</v>
      </c>
      <c r="I1866" t="s">
        <v>1981</v>
      </c>
    </row>
    <row r="1867" spans="1:9" x14ac:dyDescent="0.3">
      <c r="A1867" t="s">
        <v>10158</v>
      </c>
      <c r="B1867" t="s">
        <v>50</v>
      </c>
      <c r="C1867">
        <v>7648876604</v>
      </c>
      <c r="D1867" s="2">
        <v>1</v>
      </c>
      <c r="E1867" t="str">
        <f>"4574674200740694"</f>
        <v>4574674200740694</v>
      </c>
      <c r="F1867" t="str">
        <f>"244"</f>
        <v>244</v>
      </c>
      <c r="G1867">
        <v>1</v>
      </c>
      <c r="H1867">
        <v>2023</v>
      </c>
      <c r="I1867" t="s">
        <v>1982</v>
      </c>
    </row>
    <row r="1868" spans="1:9" x14ac:dyDescent="0.3">
      <c r="A1868" t="s">
        <v>10158</v>
      </c>
      <c r="B1868" t="s">
        <v>50</v>
      </c>
      <c r="C1868">
        <v>7648876604</v>
      </c>
      <c r="D1868" s="2">
        <v>1</v>
      </c>
      <c r="E1868" t="str">
        <f>"4574674200740702"</f>
        <v>4574674200740702</v>
      </c>
      <c r="F1868" t="str">
        <f>"656"</f>
        <v>656</v>
      </c>
      <c r="G1868">
        <v>1</v>
      </c>
      <c r="H1868">
        <v>2023</v>
      </c>
      <c r="I1868" t="s">
        <v>1983</v>
      </c>
    </row>
    <row r="1869" spans="1:9" x14ac:dyDescent="0.3">
      <c r="A1869" t="s">
        <v>10158</v>
      </c>
      <c r="B1869" t="s">
        <v>50</v>
      </c>
      <c r="C1869">
        <v>7648876604</v>
      </c>
      <c r="D1869" s="2">
        <v>1</v>
      </c>
      <c r="E1869" t="str">
        <f>"4574674200740900"</f>
        <v>4574674200740900</v>
      </c>
      <c r="F1869" t="str">
        <f>"484"</f>
        <v>484</v>
      </c>
      <c r="G1869">
        <v>1</v>
      </c>
      <c r="H1869">
        <v>2023</v>
      </c>
      <c r="I1869" t="s">
        <v>1984</v>
      </c>
    </row>
    <row r="1870" spans="1:9" x14ac:dyDescent="0.3">
      <c r="A1870" t="s">
        <v>10158</v>
      </c>
      <c r="B1870" t="s">
        <v>50</v>
      </c>
      <c r="C1870">
        <v>7648876604</v>
      </c>
      <c r="D1870" s="2">
        <v>1</v>
      </c>
      <c r="E1870" t="str">
        <f>"4574674200740751"</f>
        <v>4574674200740751</v>
      </c>
      <c r="F1870" t="str">
        <f>"484"</f>
        <v>484</v>
      </c>
      <c r="G1870">
        <v>1</v>
      </c>
      <c r="H1870">
        <v>2023</v>
      </c>
      <c r="I1870" t="s">
        <v>1985</v>
      </c>
    </row>
    <row r="1871" spans="1:9" x14ac:dyDescent="0.3">
      <c r="A1871" t="s">
        <v>10159</v>
      </c>
      <c r="B1871" t="s">
        <v>51</v>
      </c>
      <c r="C1871">
        <v>7648876604</v>
      </c>
      <c r="D1871" s="2">
        <v>1</v>
      </c>
      <c r="E1871" t="str">
        <f>"4574674200740777"</f>
        <v>4574674200740777</v>
      </c>
      <c r="F1871" t="str">
        <f>"153"</f>
        <v>153</v>
      </c>
      <c r="G1871">
        <v>1</v>
      </c>
      <c r="H1871">
        <v>2023</v>
      </c>
      <c r="I1871" t="s">
        <v>1986</v>
      </c>
    </row>
    <row r="1872" spans="1:9" x14ac:dyDescent="0.3">
      <c r="A1872" t="s">
        <v>10159</v>
      </c>
      <c r="B1872" t="s">
        <v>51</v>
      </c>
      <c r="C1872">
        <v>7648876604</v>
      </c>
      <c r="D1872" s="2">
        <v>1</v>
      </c>
      <c r="E1872" t="str">
        <f>"4574674200740793"</f>
        <v>4574674200740793</v>
      </c>
      <c r="F1872" t="str">
        <f>"401"</f>
        <v>401</v>
      </c>
      <c r="G1872">
        <v>1</v>
      </c>
      <c r="H1872">
        <v>2023</v>
      </c>
      <c r="I1872" t="s">
        <v>1987</v>
      </c>
    </row>
    <row r="1873" spans="1:9" x14ac:dyDescent="0.3">
      <c r="A1873" t="s">
        <v>10159</v>
      </c>
      <c r="B1873" t="s">
        <v>51</v>
      </c>
      <c r="C1873">
        <v>7648876604</v>
      </c>
      <c r="D1873" s="2">
        <v>1</v>
      </c>
      <c r="E1873" t="str">
        <f>"4574674200740991"</f>
        <v>4574674200740991</v>
      </c>
      <c r="F1873" t="str">
        <f>"205"</f>
        <v>205</v>
      </c>
      <c r="G1873">
        <v>1</v>
      </c>
      <c r="H1873">
        <v>2023</v>
      </c>
      <c r="I1873" t="s">
        <v>1988</v>
      </c>
    </row>
    <row r="1874" spans="1:9" x14ac:dyDescent="0.3">
      <c r="A1874" t="s">
        <v>10159</v>
      </c>
      <c r="B1874" t="s">
        <v>51</v>
      </c>
      <c r="C1874">
        <v>7648876604</v>
      </c>
      <c r="D1874" s="2">
        <v>1</v>
      </c>
      <c r="E1874" t="str">
        <f>"4574674200741056"</f>
        <v>4574674200741056</v>
      </c>
      <c r="F1874" t="str">
        <f>"492"</f>
        <v>492</v>
      </c>
      <c r="G1874">
        <v>1</v>
      </c>
      <c r="H1874">
        <v>2023</v>
      </c>
      <c r="I1874" t="s">
        <v>1989</v>
      </c>
    </row>
    <row r="1875" spans="1:9" x14ac:dyDescent="0.3">
      <c r="A1875" t="s">
        <v>10159</v>
      </c>
      <c r="B1875" t="s">
        <v>51</v>
      </c>
      <c r="C1875">
        <v>7648876604</v>
      </c>
      <c r="D1875" s="2">
        <v>1</v>
      </c>
      <c r="E1875" t="str">
        <f>"4574674200741213"</f>
        <v>4574674200741213</v>
      </c>
      <c r="F1875" t="str">
        <f>"412"</f>
        <v>412</v>
      </c>
      <c r="G1875">
        <v>1</v>
      </c>
      <c r="H1875">
        <v>2023</v>
      </c>
      <c r="I1875" t="s">
        <v>1990</v>
      </c>
    </row>
    <row r="1876" spans="1:9" x14ac:dyDescent="0.3">
      <c r="A1876" t="s">
        <v>10159</v>
      </c>
      <c r="B1876" t="s">
        <v>51</v>
      </c>
      <c r="C1876">
        <v>7648876604</v>
      </c>
      <c r="D1876" s="2">
        <v>1</v>
      </c>
      <c r="E1876" t="str">
        <f>"4574674200741239"</f>
        <v>4574674200741239</v>
      </c>
      <c r="F1876" t="str">
        <f>"677"</f>
        <v>677</v>
      </c>
      <c r="G1876">
        <v>1</v>
      </c>
      <c r="H1876">
        <v>2023</v>
      </c>
      <c r="I1876" t="s">
        <v>1991</v>
      </c>
    </row>
    <row r="1877" spans="1:9" x14ac:dyDescent="0.3">
      <c r="A1877" t="s">
        <v>10159</v>
      </c>
      <c r="B1877" t="s">
        <v>51</v>
      </c>
      <c r="C1877">
        <v>7648876604</v>
      </c>
      <c r="D1877" s="2">
        <v>1</v>
      </c>
      <c r="E1877" t="str">
        <f>"4574674200741262"</f>
        <v>4574674200741262</v>
      </c>
      <c r="F1877" t="str">
        <f>"316"</f>
        <v>316</v>
      </c>
      <c r="G1877">
        <v>1</v>
      </c>
      <c r="H1877">
        <v>2023</v>
      </c>
      <c r="I1877" t="s">
        <v>1992</v>
      </c>
    </row>
    <row r="1878" spans="1:9" x14ac:dyDescent="0.3">
      <c r="A1878" t="s">
        <v>10159</v>
      </c>
      <c r="B1878" t="s">
        <v>51</v>
      </c>
      <c r="C1878">
        <v>7648876604</v>
      </c>
      <c r="D1878" s="2">
        <v>1</v>
      </c>
      <c r="E1878" t="str">
        <f>"4574674200741270"</f>
        <v>4574674200741270</v>
      </c>
      <c r="F1878" t="str">
        <f>"645"</f>
        <v>645</v>
      </c>
      <c r="G1878">
        <v>1</v>
      </c>
      <c r="H1878">
        <v>2023</v>
      </c>
      <c r="I1878" t="s">
        <v>1993</v>
      </c>
    </row>
    <row r="1879" spans="1:9" x14ac:dyDescent="0.3">
      <c r="A1879" t="s">
        <v>10159</v>
      </c>
      <c r="B1879" t="s">
        <v>51</v>
      </c>
      <c r="C1879">
        <v>7648876604</v>
      </c>
      <c r="D1879" s="2">
        <v>1</v>
      </c>
      <c r="E1879" t="str">
        <f>"4574674200741155"</f>
        <v>4574674200741155</v>
      </c>
      <c r="F1879" t="str">
        <f>"304"</f>
        <v>304</v>
      </c>
      <c r="G1879">
        <v>1</v>
      </c>
      <c r="H1879">
        <v>2023</v>
      </c>
      <c r="I1879" t="s">
        <v>1994</v>
      </c>
    </row>
    <row r="1880" spans="1:9" x14ac:dyDescent="0.3">
      <c r="A1880" t="s">
        <v>10159</v>
      </c>
      <c r="B1880" t="s">
        <v>51</v>
      </c>
      <c r="C1880">
        <v>7648876604</v>
      </c>
      <c r="D1880" s="2">
        <v>1</v>
      </c>
      <c r="E1880" t="str">
        <f>"4574674200741304"</f>
        <v>4574674200741304</v>
      </c>
      <c r="F1880" t="str">
        <f>"655"</f>
        <v>655</v>
      </c>
      <c r="G1880">
        <v>1</v>
      </c>
      <c r="H1880">
        <v>2023</v>
      </c>
      <c r="I1880" t="s">
        <v>1995</v>
      </c>
    </row>
    <row r="1881" spans="1:9" x14ac:dyDescent="0.3">
      <c r="A1881" t="s">
        <v>10130</v>
      </c>
      <c r="B1881" t="s">
        <v>22</v>
      </c>
      <c r="C1881">
        <v>7648876604</v>
      </c>
      <c r="D1881" s="2">
        <v>1</v>
      </c>
      <c r="E1881" t="str">
        <f>"4574674200741486"</f>
        <v>4574674200741486</v>
      </c>
      <c r="F1881" t="str">
        <f>"971"</f>
        <v>971</v>
      </c>
      <c r="G1881">
        <v>1</v>
      </c>
      <c r="H1881">
        <v>2023</v>
      </c>
      <c r="I1881" t="s">
        <v>1996</v>
      </c>
    </row>
    <row r="1882" spans="1:9" x14ac:dyDescent="0.3">
      <c r="A1882" t="s">
        <v>10130</v>
      </c>
      <c r="B1882" t="s">
        <v>22</v>
      </c>
      <c r="C1882">
        <v>7648876604</v>
      </c>
      <c r="D1882" s="2">
        <v>1</v>
      </c>
      <c r="E1882" t="str">
        <f>"4574674200741510"</f>
        <v>4574674200741510</v>
      </c>
      <c r="F1882" t="str">
        <f>"726"</f>
        <v>726</v>
      </c>
      <c r="G1882">
        <v>1</v>
      </c>
      <c r="H1882">
        <v>2023</v>
      </c>
      <c r="I1882" t="s">
        <v>1997</v>
      </c>
    </row>
    <row r="1883" spans="1:9" x14ac:dyDescent="0.3">
      <c r="A1883" t="s">
        <v>10130</v>
      </c>
      <c r="B1883" t="s">
        <v>22</v>
      </c>
      <c r="C1883">
        <v>7648876604</v>
      </c>
      <c r="D1883" s="2">
        <v>1</v>
      </c>
      <c r="E1883" t="str">
        <f>"4574674200741387"</f>
        <v>4574674200741387</v>
      </c>
      <c r="F1883" t="str">
        <f>"731"</f>
        <v>731</v>
      </c>
      <c r="G1883">
        <v>1</v>
      </c>
      <c r="H1883">
        <v>2023</v>
      </c>
      <c r="I1883" t="s">
        <v>1998</v>
      </c>
    </row>
    <row r="1884" spans="1:9" x14ac:dyDescent="0.3">
      <c r="A1884" t="s">
        <v>10130</v>
      </c>
      <c r="B1884" t="s">
        <v>22</v>
      </c>
      <c r="C1884">
        <v>7648876604</v>
      </c>
      <c r="D1884" s="2">
        <v>1</v>
      </c>
      <c r="E1884" t="str">
        <f>"4574674200741601"</f>
        <v>4574674200741601</v>
      </c>
      <c r="F1884" t="str">
        <f>"873"</f>
        <v>873</v>
      </c>
      <c r="G1884">
        <v>1</v>
      </c>
      <c r="H1884">
        <v>2023</v>
      </c>
      <c r="I1884" t="s">
        <v>1999</v>
      </c>
    </row>
    <row r="1885" spans="1:9" x14ac:dyDescent="0.3">
      <c r="A1885" t="s">
        <v>10130</v>
      </c>
      <c r="B1885" t="s">
        <v>22</v>
      </c>
      <c r="C1885">
        <v>7648876604</v>
      </c>
      <c r="D1885" s="2">
        <v>1</v>
      </c>
      <c r="E1885" t="str">
        <f>"4574674200741361"</f>
        <v>4574674200741361</v>
      </c>
      <c r="F1885" t="str">
        <f>"590"</f>
        <v>590</v>
      </c>
      <c r="G1885">
        <v>1</v>
      </c>
      <c r="H1885">
        <v>2023</v>
      </c>
      <c r="I1885" t="s">
        <v>2000</v>
      </c>
    </row>
    <row r="1886" spans="1:9" x14ac:dyDescent="0.3">
      <c r="A1886" t="s">
        <v>10130</v>
      </c>
      <c r="B1886" t="s">
        <v>22</v>
      </c>
      <c r="C1886">
        <v>7648876604</v>
      </c>
      <c r="D1886" s="2">
        <v>1</v>
      </c>
      <c r="E1886" t="str">
        <f>"4574674200741619"</f>
        <v>4574674200741619</v>
      </c>
      <c r="F1886" t="str">
        <f>"831"</f>
        <v>831</v>
      </c>
      <c r="G1886">
        <v>1</v>
      </c>
      <c r="H1886">
        <v>2023</v>
      </c>
      <c r="I1886" t="s">
        <v>2001</v>
      </c>
    </row>
    <row r="1887" spans="1:9" x14ac:dyDescent="0.3">
      <c r="A1887" t="s">
        <v>10130</v>
      </c>
      <c r="B1887" t="s">
        <v>22</v>
      </c>
      <c r="C1887">
        <v>7648876604</v>
      </c>
      <c r="D1887" s="2">
        <v>1</v>
      </c>
      <c r="E1887" t="str">
        <f>"4574674200741627"</f>
        <v>4574674200741627</v>
      </c>
      <c r="F1887" t="str">
        <f>"621"</f>
        <v>621</v>
      </c>
      <c r="G1887">
        <v>1</v>
      </c>
      <c r="H1887">
        <v>2023</v>
      </c>
      <c r="I1887" t="s">
        <v>2002</v>
      </c>
    </row>
    <row r="1888" spans="1:9" x14ac:dyDescent="0.3">
      <c r="A1888" t="s">
        <v>10130</v>
      </c>
      <c r="B1888" t="s">
        <v>22</v>
      </c>
      <c r="C1888">
        <v>7648876604</v>
      </c>
      <c r="D1888" s="2">
        <v>1</v>
      </c>
      <c r="E1888" t="str">
        <f>"4574674200741841"</f>
        <v>4574674200741841</v>
      </c>
      <c r="F1888" t="str">
        <f>"209"</f>
        <v>209</v>
      </c>
      <c r="G1888">
        <v>1</v>
      </c>
      <c r="H1888">
        <v>2023</v>
      </c>
      <c r="I1888" t="s">
        <v>2003</v>
      </c>
    </row>
    <row r="1889" spans="1:9" x14ac:dyDescent="0.3">
      <c r="A1889" t="s">
        <v>10130</v>
      </c>
      <c r="B1889" t="s">
        <v>22</v>
      </c>
      <c r="C1889">
        <v>7648876604</v>
      </c>
      <c r="D1889" s="2">
        <v>1</v>
      </c>
      <c r="E1889" t="str">
        <f>"4574674200741916"</f>
        <v>4574674200741916</v>
      </c>
      <c r="F1889" t="str">
        <f>"282"</f>
        <v>282</v>
      </c>
      <c r="G1889">
        <v>1</v>
      </c>
      <c r="H1889">
        <v>2023</v>
      </c>
      <c r="I1889" t="s">
        <v>2004</v>
      </c>
    </row>
    <row r="1890" spans="1:9" x14ac:dyDescent="0.3">
      <c r="A1890" t="s">
        <v>10130</v>
      </c>
      <c r="B1890" t="s">
        <v>22</v>
      </c>
      <c r="C1890">
        <v>7648876604</v>
      </c>
      <c r="D1890" s="2">
        <v>1</v>
      </c>
      <c r="E1890" t="str">
        <f>"4574674200741650"</f>
        <v>4574674200741650</v>
      </c>
      <c r="F1890" t="str">
        <f>"685"</f>
        <v>685</v>
      </c>
      <c r="G1890">
        <v>1</v>
      </c>
      <c r="H1890">
        <v>2023</v>
      </c>
      <c r="I1890" t="s">
        <v>2005</v>
      </c>
    </row>
    <row r="1891" spans="1:9" x14ac:dyDescent="0.3">
      <c r="A1891" t="s">
        <v>10132</v>
      </c>
      <c r="B1891" t="s">
        <v>24</v>
      </c>
      <c r="C1891">
        <v>7648876604</v>
      </c>
      <c r="D1891" s="2">
        <v>1</v>
      </c>
      <c r="E1891" t="str">
        <f>"4574674200741668"</f>
        <v>4574674200741668</v>
      </c>
      <c r="F1891" t="str">
        <f>"163"</f>
        <v>163</v>
      </c>
      <c r="G1891">
        <v>1</v>
      </c>
      <c r="H1891">
        <v>2023</v>
      </c>
      <c r="I1891" t="s">
        <v>2006</v>
      </c>
    </row>
    <row r="1892" spans="1:9" x14ac:dyDescent="0.3">
      <c r="A1892" t="s">
        <v>10132</v>
      </c>
      <c r="B1892" t="s">
        <v>24</v>
      </c>
      <c r="C1892">
        <v>7648876604</v>
      </c>
      <c r="D1892" s="2">
        <v>1</v>
      </c>
      <c r="E1892" t="str">
        <f>"4574674200741692"</f>
        <v>4574674200741692</v>
      </c>
      <c r="F1892" t="str">
        <f>"873"</f>
        <v>873</v>
      </c>
      <c r="G1892">
        <v>1</v>
      </c>
      <c r="H1892">
        <v>2023</v>
      </c>
      <c r="I1892" t="s">
        <v>2007</v>
      </c>
    </row>
    <row r="1893" spans="1:9" x14ac:dyDescent="0.3">
      <c r="A1893" t="s">
        <v>10132</v>
      </c>
      <c r="B1893" t="s">
        <v>24</v>
      </c>
      <c r="C1893">
        <v>7648876604</v>
      </c>
      <c r="D1893" s="2">
        <v>1</v>
      </c>
      <c r="E1893" t="str">
        <f>"4574674200741718"</f>
        <v>4574674200741718</v>
      </c>
      <c r="F1893" t="str">
        <f>"402"</f>
        <v>402</v>
      </c>
      <c r="G1893">
        <v>1</v>
      </c>
      <c r="H1893">
        <v>2023</v>
      </c>
      <c r="I1893" t="s">
        <v>2008</v>
      </c>
    </row>
    <row r="1894" spans="1:9" x14ac:dyDescent="0.3">
      <c r="A1894" t="s">
        <v>10132</v>
      </c>
      <c r="B1894" t="s">
        <v>24</v>
      </c>
      <c r="C1894">
        <v>7648876604</v>
      </c>
      <c r="D1894" s="2">
        <v>1</v>
      </c>
      <c r="E1894" t="str">
        <f>"4574674200742013"</f>
        <v>4574674200742013</v>
      </c>
      <c r="F1894" t="str">
        <f>"842"</f>
        <v>842</v>
      </c>
      <c r="G1894">
        <v>1</v>
      </c>
      <c r="H1894">
        <v>2023</v>
      </c>
      <c r="I1894" t="s">
        <v>2009</v>
      </c>
    </row>
    <row r="1895" spans="1:9" x14ac:dyDescent="0.3">
      <c r="A1895" t="s">
        <v>10132</v>
      </c>
      <c r="B1895" t="s">
        <v>24</v>
      </c>
      <c r="C1895">
        <v>7648876604</v>
      </c>
      <c r="D1895" s="2">
        <v>1</v>
      </c>
      <c r="E1895" t="str">
        <f>"4574674200741742"</f>
        <v>4574674200741742</v>
      </c>
      <c r="F1895" t="str">
        <f>"710"</f>
        <v>710</v>
      </c>
      <c r="G1895">
        <v>1</v>
      </c>
      <c r="H1895">
        <v>2023</v>
      </c>
      <c r="I1895" t="s">
        <v>2010</v>
      </c>
    </row>
    <row r="1896" spans="1:9" x14ac:dyDescent="0.3">
      <c r="A1896" t="s">
        <v>10132</v>
      </c>
      <c r="B1896" t="s">
        <v>24</v>
      </c>
      <c r="C1896">
        <v>7648876604</v>
      </c>
      <c r="D1896" s="2">
        <v>1</v>
      </c>
      <c r="E1896" t="str">
        <f>"4574674200742070"</f>
        <v>4574674200742070</v>
      </c>
      <c r="F1896" t="str">
        <f>"528"</f>
        <v>528</v>
      </c>
      <c r="G1896">
        <v>1</v>
      </c>
      <c r="H1896">
        <v>2023</v>
      </c>
      <c r="I1896" t="s">
        <v>2011</v>
      </c>
    </row>
    <row r="1897" spans="1:9" x14ac:dyDescent="0.3">
      <c r="A1897" t="s">
        <v>10132</v>
      </c>
      <c r="B1897" t="s">
        <v>24</v>
      </c>
      <c r="C1897">
        <v>7648876604</v>
      </c>
      <c r="D1897" s="2">
        <v>1</v>
      </c>
      <c r="E1897" t="str">
        <f>"4574674200741775"</f>
        <v>4574674200741775</v>
      </c>
      <c r="F1897" t="str">
        <f>"006"</f>
        <v>006</v>
      </c>
      <c r="G1897">
        <v>1</v>
      </c>
      <c r="H1897">
        <v>2023</v>
      </c>
      <c r="I1897" t="s">
        <v>2012</v>
      </c>
    </row>
    <row r="1898" spans="1:9" x14ac:dyDescent="0.3">
      <c r="A1898" t="s">
        <v>10132</v>
      </c>
      <c r="B1898" t="s">
        <v>24</v>
      </c>
      <c r="C1898">
        <v>7648876604</v>
      </c>
      <c r="D1898" s="2">
        <v>1</v>
      </c>
      <c r="E1898" t="str">
        <f>"4574674200741791"</f>
        <v>4574674200741791</v>
      </c>
      <c r="F1898" t="str">
        <f>"484"</f>
        <v>484</v>
      </c>
      <c r="G1898">
        <v>1</v>
      </c>
      <c r="H1898">
        <v>2023</v>
      </c>
      <c r="I1898" t="s">
        <v>2013</v>
      </c>
    </row>
    <row r="1899" spans="1:9" x14ac:dyDescent="0.3">
      <c r="A1899" t="s">
        <v>10132</v>
      </c>
      <c r="B1899" t="s">
        <v>24</v>
      </c>
      <c r="C1899">
        <v>7648876604</v>
      </c>
      <c r="D1899" s="2">
        <v>1</v>
      </c>
      <c r="E1899" t="str">
        <f>"4574674200742419"</f>
        <v>4574674200742419</v>
      </c>
      <c r="F1899" t="str">
        <f>"877"</f>
        <v>877</v>
      </c>
      <c r="G1899">
        <v>1</v>
      </c>
      <c r="H1899">
        <v>2023</v>
      </c>
      <c r="I1899" t="s">
        <v>2014</v>
      </c>
    </row>
    <row r="1900" spans="1:9" x14ac:dyDescent="0.3">
      <c r="A1900" t="s">
        <v>10132</v>
      </c>
      <c r="B1900" t="s">
        <v>24</v>
      </c>
      <c r="C1900">
        <v>7648876604</v>
      </c>
      <c r="D1900" s="2">
        <v>1</v>
      </c>
      <c r="E1900" t="str">
        <f>"4574674200742229"</f>
        <v>4574674200742229</v>
      </c>
      <c r="F1900" t="str">
        <f>"478"</f>
        <v>478</v>
      </c>
      <c r="G1900">
        <v>1</v>
      </c>
      <c r="H1900">
        <v>2023</v>
      </c>
      <c r="I1900" t="s">
        <v>2015</v>
      </c>
    </row>
    <row r="1901" spans="1:9" x14ac:dyDescent="0.3">
      <c r="A1901" t="s">
        <v>10160</v>
      </c>
      <c r="B1901" t="s">
        <v>52</v>
      </c>
      <c r="C1901">
        <v>7648876604</v>
      </c>
      <c r="D1901" s="2">
        <v>1</v>
      </c>
      <c r="E1901" t="str">
        <f>"4574674200742211"</f>
        <v>4574674200742211</v>
      </c>
      <c r="F1901" t="str">
        <f>"175"</f>
        <v>175</v>
      </c>
      <c r="G1901">
        <v>1</v>
      </c>
      <c r="H1901">
        <v>2023</v>
      </c>
      <c r="I1901" t="s">
        <v>2016</v>
      </c>
    </row>
    <row r="1902" spans="1:9" x14ac:dyDescent="0.3">
      <c r="A1902" t="s">
        <v>10160</v>
      </c>
      <c r="B1902" t="s">
        <v>52</v>
      </c>
      <c r="C1902">
        <v>7648876604</v>
      </c>
      <c r="D1902" s="2">
        <v>1</v>
      </c>
      <c r="E1902" t="str">
        <f>"4574674200742427"</f>
        <v>4574674200742427</v>
      </c>
      <c r="F1902" t="str">
        <f>"806"</f>
        <v>806</v>
      </c>
      <c r="G1902">
        <v>1</v>
      </c>
      <c r="H1902">
        <v>2023</v>
      </c>
      <c r="I1902" t="s">
        <v>2017</v>
      </c>
    </row>
    <row r="1903" spans="1:9" x14ac:dyDescent="0.3">
      <c r="A1903" t="s">
        <v>10160</v>
      </c>
      <c r="B1903" t="s">
        <v>52</v>
      </c>
      <c r="C1903">
        <v>7648876604</v>
      </c>
      <c r="D1903" s="2">
        <v>1</v>
      </c>
      <c r="E1903" t="str">
        <f>"4574674200742260"</f>
        <v>4574674200742260</v>
      </c>
      <c r="F1903" t="str">
        <f>"704"</f>
        <v>704</v>
      </c>
      <c r="G1903">
        <v>1</v>
      </c>
      <c r="H1903">
        <v>2023</v>
      </c>
      <c r="I1903" t="s">
        <v>2018</v>
      </c>
    </row>
    <row r="1904" spans="1:9" x14ac:dyDescent="0.3">
      <c r="A1904" t="s">
        <v>10160</v>
      </c>
      <c r="B1904" t="s">
        <v>52</v>
      </c>
      <c r="C1904">
        <v>7648876604</v>
      </c>
      <c r="D1904" s="2">
        <v>1</v>
      </c>
      <c r="E1904" t="str">
        <f>"4574674200742542"</f>
        <v>4574674200742542</v>
      </c>
      <c r="F1904" t="str">
        <f>"209"</f>
        <v>209</v>
      </c>
      <c r="G1904">
        <v>1</v>
      </c>
      <c r="H1904">
        <v>2023</v>
      </c>
      <c r="I1904" t="s">
        <v>2019</v>
      </c>
    </row>
    <row r="1905" spans="1:9" x14ac:dyDescent="0.3">
      <c r="A1905" t="s">
        <v>10160</v>
      </c>
      <c r="B1905" t="s">
        <v>52</v>
      </c>
      <c r="C1905">
        <v>7648876604</v>
      </c>
      <c r="D1905" s="2">
        <v>1</v>
      </c>
      <c r="E1905" t="str">
        <f>"4574674200742518"</f>
        <v>4574674200742518</v>
      </c>
      <c r="F1905" t="str">
        <f>"230"</f>
        <v>230</v>
      </c>
      <c r="G1905">
        <v>1</v>
      </c>
      <c r="H1905">
        <v>2023</v>
      </c>
      <c r="I1905" t="s">
        <v>2020</v>
      </c>
    </row>
    <row r="1906" spans="1:9" x14ac:dyDescent="0.3">
      <c r="A1906" t="s">
        <v>10160</v>
      </c>
      <c r="B1906" t="s">
        <v>52</v>
      </c>
      <c r="C1906">
        <v>7648876604</v>
      </c>
      <c r="D1906" s="2">
        <v>1</v>
      </c>
      <c r="E1906" t="str">
        <f>"4574674200742286"</f>
        <v>4574674200742286</v>
      </c>
      <c r="F1906" t="str">
        <f>"648"</f>
        <v>648</v>
      </c>
      <c r="G1906">
        <v>1</v>
      </c>
      <c r="H1906">
        <v>2023</v>
      </c>
      <c r="I1906" t="s">
        <v>2021</v>
      </c>
    </row>
    <row r="1907" spans="1:9" x14ac:dyDescent="0.3">
      <c r="A1907" t="s">
        <v>10160</v>
      </c>
      <c r="B1907" t="s">
        <v>52</v>
      </c>
      <c r="C1907">
        <v>7648876604</v>
      </c>
      <c r="D1907" s="2">
        <v>1</v>
      </c>
      <c r="E1907" t="str">
        <f>"4574674200742336"</f>
        <v>4574674200742336</v>
      </c>
      <c r="F1907" t="str">
        <f>"211"</f>
        <v>211</v>
      </c>
      <c r="G1907">
        <v>1</v>
      </c>
      <c r="H1907">
        <v>2023</v>
      </c>
      <c r="I1907" t="s">
        <v>2022</v>
      </c>
    </row>
    <row r="1908" spans="1:9" x14ac:dyDescent="0.3">
      <c r="A1908" t="s">
        <v>10160</v>
      </c>
      <c r="B1908" t="s">
        <v>52</v>
      </c>
      <c r="C1908">
        <v>7648876604</v>
      </c>
      <c r="D1908" s="2">
        <v>1</v>
      </c>
      <c r="E1908" t="str">
        <f>"4574674200742351"</f>
        <v>4574674200742351</v>
      </c>
      <c r="F1908" t="str">
        <f>"644"</f>
        <v>644</v>
      </c>
      <c r="G1908">
        <v>1</v>
      </c>
      <c r="H1908">
        <v>2023</v>
      </c>
      <c r="I1908" t="s">
        <v>2023</v>
      </c>
    </row>
    <row r="1909" spans="1:9" x14ac:dyDescent="0.3">
      <c r="A1909" t="s">
        <v>10160</v>
      </c>
      <c r="B1909" t="s">
        <v>52</v>
      </c>
      <c r="C1909">
        <v>7648876604</v>
      </c>
      <c r="D1909" s="2">
        <v>1</v>
      </c>
      <c r="E1909" t="str">
        <f>"4574674200742344"</f>
        <v>4574674200742344</v>
      </c>
      <c r="F1909" t="str">
        <f>"886"</f>
        <v>886</v>
      </c>
      <c r="G1909">
        <v>1</v>
      </c>
      <c r="H1909">
        <v>2023</v>
      </c>
      <c r="I1909" t="s">
        <v>2024</v>
      </c>
    </row>
    <row r="1910" spans="1:9" x14ac:dyDescent="0.3">
      <c r="A1910" t="s">
        <v>10160</v>
      </c>
      <c r="B1910" t="s">
        <v>52</v>
      </c>
      <c r="C1910">
        <v>7648876604</v>
      </c>
      <c r="D1910" s="2">
        <v>1</v>
      </c>
      <c r="E1910" t="str">
        <f>"4574674200742682"</f>
        <v>4574674200742682</v>
      </c>
      <c r="F1910" t="str">
        <f>"661"</f>
        <v>661</v>
      </c>
      <c r="G1910">
        <v>1</v>
      </c>
      <c r="H1910">
        <v>2023</v>
      </c>
      <c r="I1910" t="s">
        <v>2025</v>
      </c>
    </row>
    <row r="1911" spans="1:9" x14ac:dyDescent="0.3">
      <c r="A1911" t="s">
        <v>10161</v>
      </c>
      <c r="B1911" t="s">
        <v>53</v>
      </c>
      <c r="C1911">
        <v>7648876604</v>
      </c>
      <c r="D1911" s="2">
        <v>1</v>
      </c>
      <c r="E1911" t="str">
        <f>"4574674200742716"</f>
        <v>4574674200742716</v>
      </c>
      <c r="F1911" t="str">
        <f>"662"</f>
        <v>662</v>
      </c>
      <c r="G1911">
        <v>1</v>
      </c>
      <c r="H1911">
        <v>2023</v>
      </c>
      <c r="I1911" t="s">
        <v>2026</v>
      </c>
    </row>
    <row r="1912" spans="1:9" x14ac:dyDescent="0.3">
      <c r="A1912" t="s">
        <v>10161</v>
      </c>
      <c r="B1912" t="s">
        <v>53</v>
      </c>
      <c r="C1912">
        <v>7648876604</v>
      </c>
      <c r="D1912" s="2">
        <v>1</v>
      </c>
      <c r="E1912" t="str">
        <f>"4574674200742377"</f>
        <v>4574674200742377</v>
      </c>
      <c r="F1912" t="str">
        <f>"907"</f>
        <v>907</v>
      </c>
      <c r="G1912">
        <v>1</v>
      </c>
      <c r="H1912">
        <v>2023</v>
      </c>
      <c r="I1912" t="s">
        <v>2027</v>
      </c>
    </row>
    <row r="1913" spans="1:9" x14ac:dyDescent="0.3">
      <c r="A1913" t="s">
        <v>10161</v>
      </c>
      <c r="B1913" t="s">
        <v>53</v>
      </c>
      <c r="C1913">
        <v>7648876604</v>
      </c>
      <c r="D1913" s="2">
        <v>1</v>
      </c>
      <c r="E1913" t="str">
        <f>"4574674200742815"</f>
        <v>4574674200742815</v>
      </c>
      <c r="F1913" t="str">
        <f>"301"</f>
        <v>301</v>
      </c>
      <c r="G1913">
        <v>1</v>
      </c>
      <c r="H1913">
        <v>2023</v>
      </c>
      <c r="I1913" t="s">
        <v>2028</v>
      </c>
    </row>
    <row r="1914" spans="1:9" x14ac:dyDescent="0.3">
      <c r="A1914" t="s">
        <v>10161</v>
      </c>
      <c r="B1914" t="s">
        <v>53</v>
      </c>
      <c r="C1914">
        <v>7648876604</v>
      </c>
      <c r="D1914" s="2">
        <v>1</v>
      </c>
      <c r="E1914" t="str">
        <f>"4574674200742831"</f>
        <v>4574674200742831</v>
      </c>
      <c r="F1914" t="str">
        <f>"359"</f>
        <v>359</v>
      </c>
      <c r="G1914">
        <v>1</v>
      </c>
      <c r="H1914">
        <v>2023</v>
      </c>
      <c r="I1914" t="s">
        <v>2029</v>
      </c>
    </row>
    <row r="1915" spans="1:9" x14ac:dyDescent="0.3">
      <c r="A1915" t="s">
        <v>10161</v>
      </c>
      <c r="B1915" t="s">
        <v>53</v>
      </c>
      <c r="C1915">
        <v>7648876604</v>
      </c>
      <c r="D1915" s="2">
        <v>1</v>
      </c>
      <c r="E1915" t="str">
        <f>"4574674200743052"</f>
        <v>4574674200743052</v>
      </c>
      <c r="F1915" t="str">
        <f>"878"</f>
        <v>878</v>
      </c>
      <c r="G1915">
        <v>1</v>
      </c>
      <c r="H1915">
        <v>2023</v>
      </c>
      <c r="I1915" t="s">
        <v>2030</v>
      </c>
    </row>
    <row r="1916" spans="1:9" x14ac:dyDescent="0.3">
      <c r="A1916" t="s">
        <v>10161</v>
      </c>
      <c r="B1916" t="s">
        <v>53</v>
      </c>
      <c r="C1916">
        <v>7648876604</v>
      </c>
      <c r="D1916" s="2">
        <v>1</v>
      </c>
      <c r="E1916" t="str">
        <f>"4574674200743094"</f>
        <v>4574674200743094</v>
      </c>
      <c r="F1916" t="str">
        <f>"074"</f>
        <v>074</v>
      </c>
      <c r="G1916">
        <v>1</v>
      </c>
      <c r="H1916">
        <v>2023</v>
      </c>
      <c r="I1916" t="s">
        <v>2031</v>
      </c>
    </row>
    <row r="1917" spans="1:9" x14ac:dyDescent="0.3">
      <c r="A1917" t="s">
        <v>10161</v>
      </c>
      <c r="B1917" t="s">
        <v>53</v>
      </c>
      <c r="C1917">
        <v>7648876604</v>
      </c>
      <c r="D1917" s="2">
        <v>1</v>
      </c>
      <c r="E1917" t="str">
        <f>"4574674200742872"</f>
        <v>4574674200742872</v>
      </c>
      <c r="F1917" t="str">
        <f>"922"</f>
        <v>922</v>
      </c>
      <c r="G1917">
        <v>1</v>
      </c>
      <c r="H1917">
        <v>2023</v>
      </c>
      <c r="I1917" t="s">
        <v>2032</v>
      </c>
    </row>
    <row r="1918" spans="1:9" x14ac:dyDescent="0.3">
      <c r="A1918" t="s">
        <v>10161</v>
      </c>
      <c r="B1918" t="s">
        <v>53</v>
      </c>
      <c r="C1918">
        <v>7648876604</v>
      </c>
      <c r="D1918" s="2">
        <v>1</v>
      </c>
      <c r="E1918" t="str">
        <f>"4574674200742864"</f>
        <v>4574674200742864</v>
      </c>
      <c r="F1918" t="str">
        <f>"611"</f>
        <v>611</v>
      </c>
      <c r="G1918">
        <v>1</v>
      </c>
      <c r="H1918">
        <v>2023</v>
      </c>
      <c r="I1918" t="s">
        <v>2033</v>
      </c>
    </row>
    <row r="1919" spans="1:9" x14ac:dyDescent="0.3">
      <c r="A1919" t="s">
        <v>10161</v>
      </c>
      <c r="B1919" t="s">
        <v>53</v>
      </c>
      <c r="C1919">
        <v>7648876604</v>
      </c>
      <c r="D1919" s="2">
        <v>1</v>
      </c>
      <c r="E1919" t="str">
        <f>"4574674200742898"</f>
        <v>4574674200742898</v>
      </c>
      <c r="F1919" t="str">
        <f>"084"</f>
        <v>084</v>
      </c>
      <c r="G1919">
        <v>1</v>
      </c>
      <c r="H1919">
        <v>2023</v>
      </c>
      <c r="I1919" t="s">
        <v>2034</v>
      </c>
    </row>
    <row r="1920" spans="1:9" x14ac:dyDescent="0.3">
      <c r="A1920" t="s">
        <v>10161</v>
      </c>
      <c r="B1920" t="s">
        <v>53</v>
      </c>
      <c r="C1920">
        <v>7648876604</v>
      </c>
      <c r="D1920" s="2">
        <v>1</v>
      </c>
      <c r="E1920" t="str">
        <f>"4574674200742914"</f>
        <v>4574674200742914</v>
      </c>
      <c r="F1920" t="str">
        <f>"985"</f>
        <v>985</v>
      </c>
      <c r="G1920">
        <v>1</v>
      </c>
      <c r="H1920">
        <v>2023</v>
      </c>
      <c r="I1920" t="s">
        <v>2035</v>
      </c>
    </row>
    <row r="1921" spans="1:9" x14ac:dyDescent="0.3">
      <c r="A1921" t="s">
        <v>10148</v>
      </c>
      <c r="B1921" t="s">
        <v>40</v>
      </c>
      <c r="C1921">
        <v>7648876604</v>
      </c>
      <c r="D1921" s="2">
        <v>1</v>
      </c>
      <c r="E1921" t="str">
        <f>"4574674200743201"</f>
        <v>4574674200743201</v>
      </c>
      <c r="F1921" t="str">
        <f>"131"</f>
        <v>131</v>
      </c>
      <c r="G1921">
        <v>1</v>
      </c>
      <c r="H1921">
        <v>2023</v>
      </c>
      <c r="I1921" t="s">
        <v>2036</v>
      </c>
    </row>
    <row r="1922" spans="1:9" x14ac:dyDescent="0.3">
      <c r="A1922" t="s">
        <v>10148</v>
      </c>
      <c r="B1922" t="s">
        <v>40</v>
      </c>
      <c r="C1922">
        <v>7648876604</v>
      </c>
      <c r="D1922" s="2">
        <v>1</v>
      </c>
      <c r="E1922" t="str">
        <f>"4574674200743276"</f>
        <v>4574674200743276</v>
      </c>
      <c r="F1922" t="str">
        <f>"123"</f>
        <v>123</v>
      </c>
      <c r="G1922">
        <v>1</v>
      </c>
      <c r="H1922">
        <v>2023</v>
      </c>
      <c r="I1922" t="s">
        <v>2037</v>
      </c>
    </row>
    <row r="1923" spans="1:9" x14ac:dyDescent="0.3">
      <c r="A1923" t="s">
        <v>10148</v>
      </c>
      <c r="B1923" t="s">
        <v>40</v>
      </c>
      <c r="C1923">
        <v>7648876604</v>
      </c>
      <c r="D1923" s="2">
        <v>1</v>
      </c>
      <c r="E1923" t="str">
        <f>"4574674200742989"</f>
        <v>4574674200742989</v>
      </c>
      <c r="F1923" t="str">
        <f>"781"</f>
        <v>781</v>
      </c>
      <c r="G1923">
        <v>1</v>
      </c>
      <c r="H1923">
        <v>2023</v>
      </c>
      <c r="I1923" t="s">
        <v>2038</v>
      </c>
    </row>
    <row r="1924" spans="1:9" x14ac:dyDescent="0.3">
      <c r="A1924" t="s">
        <v>10148</v>
      </c>
      <c r="B1924" t="s">
        <v>40</v>
      </c>
      <c r="C1924">
        <v>7648876604</v>
      </c>
      <c r="D1924" s="2">
        <v>1</v>
      </c>
      <c r="E1924" t="str">
        <f>"4574674200742955"</f>
        <v>4574674200742955</v>
      </c>
      <c r="F1924" t="str">
        <f>"505"</f>
        <v>505</v>
      </c>
      <c r="G1924">
        <v>1</v>
      </c>
      <c r="H1924">
        <v>2023</v>
      </c>
      <c r="I1924" t="s">
        <v>2039</v>
      </c>
    </row>
    <row r="1925" spans="1:9" x14ac:dyDescent="0.3">
      <c r="A1925" t="s">
        <v>10148</v>
      </c>
      <c r="B1925" t="s">
        <v>40</v>
      </c>
      <c r="C1925">
        <v>7648876604</v>
      </c>
      <c r="D1925" s="2">
        <v>1</v>
      </c>
      <c r="E1925" t="str">
        <f>"4574674200743417"</f>
        <v>4574674200743417</v>
      </c>
      <c r="F1925" t="str">
        <f>"343"</f>
        <v>343</v>
      </c>
      <c r="G1925">
        <v>1</v>
      </c>
      <c r="H1925">
        <v>2023</v>
      </c>
      <c r="I1925" t="s">
        <v>2040</v>
      </c>
    </row>
    <row r="1926" spans="1:9" x14ac:dyDescent="0.3">
      <c r="A1926" t="s">
        <v>10148</v>
      </c>
      <c r="B1926" t="s">
        <v>40</v>
      </c>
      <c r="C1926">
        <v>7648876604</v>
      </c>
      <c r="D1926" s="2">
        <v>1</v>
      </c>
      <c r="E1926" t="str">
        <f>"4574674200743425"</f>
        <v>4574674200743425</v>
      </c>
      <c r="F1926" t="str">
        <f>"816"</f>
        <v>816</v>
      </c>
      <c r="G1926">
        <v>1</v>
      </c>
      <c r="H1926">
        <v>2023</v>
      </c>
      <c r="I1926" t="s">
        <v>2041</v>
      </c>
    </row>
    <row r="1927" spans="1:9" x14ac:dyDescent="0.3">
      <c r="A1927" t="s">
        <v>10148</v>
      </c>
      <c r="B1927" t="s">
        <v>40</v>
      </c>
      <c r="C1927">
        <v>7648876604</v>
      </c>
      <c r="D1927" s="2">
        <v>1</v>
      </c>
      <c r="E1927" t="str">
        <f>"4574674200743367"</f>
        <v>4574674200743367</v>
      </c>
      <c r="F1927" t="str">
        <f>"458"</f>
        <v>458</v>
      </c>
      <c r="G1927">
        <v>1</v>
      </c>
      <c r="H1927">
        <v>2023</v>
      </c>
      <c r="I1927" t="s">
        <v>2042</v>
      </c>
    </row>
    <row r="1928" spans="1:9" x14ac:dyDescent="0.3">
      <c r="A1928" t="s">
        <v>10148</v>
      </c>
      <c r="B1928" t="s">
        <v>40</v>
      </c>
      <c r="C1928">
        <v>7648876604</v>
      </c>
      <c r="D1928" s="2">
        <v>1</v>
      </c>
      <c r="E1928" t="str">
        <f>"4574674200743359"</f>
        <v>4574674200743359</v>
      </c>
      <c r="F1928" t="str">
        <f>"028"</f>
        <v>028</v>
      </c>
      <c r="G1928">
        <v>1</v>
      </c>
      <c r="H1928">
        <v>2023</v>
      </c>
      <c r="I1928" t="s">
        <v>2043</v>
      </c>
    </row>
    <row r="1929" spans="1:9" x14ac:dyDescent="0.3">
      <c r="A1929" t="s">
        <v>10148</v>
      </c>
      <c r="B1929" t="s">
        <v>40</v>
      </c>
      <c r="C1929">
        <v>7648876604</v>
      </c>
      <c r="D1929" s="2">
        <v>1</v>
      </c>
      <c r="E1929" t="str">
        <f>"4574674200743433"</f>
        <v>4574674200743433</v>
      </c>
      <c r="F1929" t="str">
        <f>"318"</f>
        <v>318</v>
      </c>
      <c r="G1929">
        <v>1</v>
      </c>
      <c r="H1929">
        <v>2023</v>
      </c>
      <c r="I1929" t="s">
        <v>2044</v>
      </c>
    </row>
    <row r="1930" spans="1:9" x14ac:dyDescent="0.3">
      <c r="A1930" t="s">
        <v>10148</v>
      </c>
      <c r="B1930" t="s">
        <v>40</v>
      </c>
      <c r="C1930">
        <v>7648876604</v>
      </c>
      <c r="D1930" s="2">
        <v>1</v>
      </c>
      <c r="E1930" t="str">
        <f>"4574674200743482"</f>
        <v>4574674200743482</v>
      </c>
      <c r="F1930" t="str">
        <f>"420"</f>
        <v>420</v>
      </c>
      <c r="G1930">
        <v>1</v>
      </c>
      <c r="H1930">
        <v>2023</v>
      </c>
      <c r="I1930" t="s">
        <v>2045</v>
      </c>
    </row>
    <row r="1931" spans="1:9" x14ac:dyDescent="0.3">
      <c r="A1931" t="s">
        <v>10149</v>
      </c>
      <c r="B1931" t="s">
        <v>41</v>
      </c>
      <c r="C1931">
        <v>7648876604</v>
      </c>
      <c r="D1931" s="2">
        <v>1</v>
      </c>
      <c r="E1931" t="str">
        <f>"4574674200743508"</f>
        <v>4574674200743508</v>
      </c>
      <c r="F1931" t="str">
        <f>"908"</f>
        <v>908</v>
      </c>
      <c r="G1931">
        <v>1</v>
      </c>
      <c r="H1931">
        <v>2023</v>
      </c>
      <c r="I1931" t="s">
        <v>2046</v>
      </c>
    </row>
    <row r="1932" spans="1:9" x14ac:dyDescent="0.3">
      <c r="A1932" t="s">
        <v>10149</v>
      </c>
      <c r="B1932" t="s">
        <v>41</v>
      </c>
      <c r="C1932">
        <v>7648876604</v>
      </c>
      <c r="D1932" s="2">
        <v>1</v>
      </c>
      <c r="E1932" t="str">
        <f>"4574674200743680"</f>
        <v>4574674200743680</v>
      </c>
      <c r="F1932" t="str">
        <f>"337"</f>
        <v>337</v>
      </c>
      <c r="G1932">
        <v>1</v>
      </c>
      <c r="H1932">
        <v>2023</v>
      </c>
      <c r="I1932" t="s">
        <v>2047</v>
      </c>
    </row>
    <row r="1933" spans="1:9" x14ac:dyDescent="0.3">
      <c r="A1933" t="s">
        <v>10149</v>
      </c>
      <c r="B1933" t="s">
        <v>41</v>
      </c>
      <c r="C1933">
        <v>7648876604</v>
      </c>
      <c r="D1933" s="2">
        <v>1</v>
      </c>
      <c r="E1933" t="str">
        <f>"4574674200743730"</f>
        <v>4574674200743730</v>
      </c>
      <c r="F1933" t="str">
        <f>"477"</f>
        <v>477</v>
      </c>
      <c r="G1933">
        <v>1</v>
      </c>
      <c r="H1933">
        <v>2023</v>
      </c>
      <c r="I1933" t="s">
        <v>2048</v>
      </c>
    </row>
    <row r="1934" spans="1:9" x14ac:dyDescent="0.3">
      <c r="A1934" t="s">
        <v>10149</v>
      </c>
      <c r="B1934" t="s">
        <v>41</v>
      </c>
      <c r="C1934">
        <v>7648876604</v>
      </c>
      <c r="D1934" s="2">
        <v>1</v>
      </c>
      <c r="E1934" t="str">
        <f>"4574674200743524"</f>
        <v>4574674200743524</v>
      </c>
      <c r="F1934" t="str">
        <f>"458"</f>
        <v>458</v>
      </c>
      <c r="G1934">
        <v>1</v>
      </c>
      <c r="H1934">
        <v>2023</v>
      </c>
      <c r="I1934" t="s">
        <v>2049</v>
      </c>
    </row>
    <row r="1935" spans="1:9" x14ac:dyDescent="0.3">
      <c r="A1935" t="s">
        <v>10149</v>
      </c>
      <c r="B1935" t="s">
        <v>41</v>
      </c>
      <c r="C1935">
        <v>7648876604</v>
      </c>
      <c r="D1935" s="2">
        <v>1</v>
      </c>
      <c r="E1935" t="str">
        <f>"4574674200743532"</f>
        <v>4574674200743532</v>
      </c>
      <c r="F1935" t="str">
        <f>"830"</f>
        <v>830</v>
      </c>
      <c r="G1935">
        <v>1</v>
      </c>
      <c r="H1935">
        <v>2023</v>
      </c>
      <c r="I1935" t="s">
        <v>2050</v>
      </c>
    </row>
    <row r="1936" spans="1:9" x14ac:dyDescent="0.3">
      <c r="A1936" t="s">
        <v>10149</v>
      </c>
      <c r="B1936" t="s">
        <v>41</v>
      </c>
      <c r="C1936">
        <v>7648876604</v>
      </c>
      <c r="D1936" s="2">
        <v>1</v>
      </c>
      <c r="E1936" t="str">
        <f>"4574674200743557"</f>
        <v>4574674200743557</v>
      </c>
      <c r="F1936" t="str">
        <f>"123"</f>
        <v>123</v>
      </c>
      <c r="G1936">
        <v>1</v>
      </c>
      <c r="H1936">
        <v>2023</v>
      </c>
      <c r="I1936" t="s">
        <v>2051</v>
      </c>
    </row>
    <row r="1937" spans="1:9" x14ac:dyDescent="0.3">
      <c r="A1937" t="s">
        <v>10149</v>
      </c>
      <c r="B1937" t="s">
        <v>41</v>
      </c>
      <c r="C1937">
        <v>7648876604</v>
      </c>
      <c r="D1937" s="2">
        <v>1</v>
      </c>
      <c r="E1937" t="str">
        <f>"4574674200743888"</f>
        <v>4574674200743888</v>
      </c>
      <c r="F1937" t="str">
        <f>"465"</f>
        <v>465</v>
      </c>
      <c r="G1937">
        <v>1</v>
      </c>
      <c r="H1937">
        <v>2023</v>
      </c>
      <c r="I1937" t="s">
        <v>2052</v>
      </c>
    </row>
    <row r="1938" spans="1:9" x14ac:dyDescent="0.3">
      <c r="A1938" t="s">
        <v>10149</v>
      </c>
      <c r="B1938" t="s">
        <v>41</v>
      </c>
      <c r="C1938">
        <v>7648876604</v>
      </c>
      <c r="D1938" s="2">
        <v>1</v>
      </c>
      <c r="E1938" t="str">
        <f>"4574674200743920"</f>
        <v>4574674200743920</v>
      </c>
      <c r="F1938" t="str">
        <f>"525"</f>
        <v>525</v>
      </c>
      <c r="G1938">
        <v>1</v>
      </c>
      <c r="H1938">
        <v>2023</v>
      </c>
      <c r="I1938" t="s">
        <v>2053</v>
      </c>
    </row>
    <row r="1939" spans="1:9" x14ac:dyDescent="0.3">
      <c r="A1939" t="s">
        <v>10149</v>
      </c>
      <c r="B1939" t="s">
        <v>41</v>
      </c>
      <c r="C1939">
        <v>7648876604</v>
      </c>
      <c r="D1939" s="2">
        <v>1</v>
      </c>
      <c r="E1939" t="str">
        <f>"4574674200743581"</f>
        <v>4574674200743581</v>
      </c>
      <c r="F1939" t="str">
        <f>"457"</f>
        <v>457</v>
      </c>
      <c r="G1939">
        <v>1</v>
      </c>
      <c r="H1939">
        <v>2023</v>
      </c>
      <c r="I1939" t="s">
        <v>2054</v>
      </c>
    </row>
    <row r="1940" spans="1:9" x14ac:dyDescent="0.3">
      <c r="A1940" t="s">
        <v>10149</v>
      </c>
      <c r="B1940" t="s">
        <v>41</v>
      </c>
      <c r="C1940">
        <v>7648876604</v>
      </c>
      <c r="D1940" s="2">
        <v>1</v>
      </c>
      <c r="E1940" t="str">
        <f>"4574674200744027"</f>
        <v>4574674200744027</v>
      </c>
      <c r="F1940" t="str">
        <f>"816"</f>
        <v>816</v>
      </c>
      <c r="G1940">
        <v>1</v>
      </c>
      <c r="H1940">
        <v>2023</v>
      </c>
      <c r="I1940" t="s">
        <v>2055</v>
      </c>
    </row>
    <row r="1941" spans="1:9" x14ac:dyDescent="0.3">
      <c r="A1941" t="s">
        <v>10150</v>
      </c>
      <c r="B1941" t="s">
        <v>42</v>
      </c>
      <c r="C1941">
        <v>7648876604</v>
      </c>
      <c r="D1941" s="2">
        <v>1</v>
      </c>
      <c r="E1941" t="str">
        <f>"4574674200744035"</f>
        <v>4574674200744035</v>
      </c>
      <c r="F1941" t="str">
        <f>"455"</f>
        <v>455</v>
      </c>
      <c r="G1941">
        <v>1</v>
      </c>
      <c r="H1941">
        <v>2023</v>
      </c>
      <c r="I1941" t="s">
        <v>2056</v>
      </c>
    </row>
    <row r="1942" spans="1:9" x14ac:dyDescent="0.3">
      <c r="A1942" t="s">
        <v>10150</v>
      </c>
      <c r="B1942" t="s">
        <v>42</v>
      </c>
      <c r="C1942">
        <v>7648876604</v>
      </c>
      <c r="D1942" s="2">
        <v>1</v>
      </c>
      <c r="E1942" t="str">
        <f>"4574674200744050"</f>
        <v>4574674200744050</v>
      </c>
      <c r="F1942" t="str">
        <f>"935"</f>
        <v>935</v>
      </c>
      <c r="G1942">
        <v>1</v>
      </c>
      <c r="H1942">
        <v>2023</v>
      </c>
      <c r="I1942" t="s">
        <v>2057</v>
      </c>
    </row>
    <row r="1943" spans="1:9" x14ac:dyDescent="0.3">
      <c r="A1943" t="s">
        <v>10150</v>
      </c>
      <c r="B1943" t="s">
        <v>42</v>
      </c>
      <c r="C1943">
        <v>7648876604</v>
      </c>
      <c r="D1943" s="2">
        <v>1</v>
      </c>
      <c r="E1943" t="str">
        <f>"4574674200744217"</f>
        <v>4574674200744217</v>
      </c>
      <c r="F1943" t="str">
        <f>"752"</f>
        <v>752</v>
      </c>
      <c r="G1943">
        <v>1</v>
      </c>
      <c r="H1943">
        <v>2023</v>
      </c>
      <c r="I1943" t="s">
        <v>2058</v>
      </c>
    </row>
    <row r="1944" spans="1:9" x14ac:dyDescent="0.3">
      <c r="A1944" t="s">
        <v>10150</v>
      </c>
      <c r="B1944" t="s">
        <v>42</v>
      </c>
      <c r="C1944">
        <v>7648876604</v>
      </c>
      <c r="D1944" s="2">
        <v>1</v>
      </c>
      <c r="E1944" t="str">
        <f>"4574674200744068"</f>
        <v>4574674200744068</v>
      </c>
      <c r="F1944" t="str">
        <f>"330"</f>
        <v>330</v>
      </c>
      <c r="G1944">
        <v>1</v>
      </c>
      <c r="H1944">
        <v>2023</v>
      </c>
      <c r="I1944" t="s">
        <v>2059</v>
      </c>
    </row>
    <row r="1945" spans="1:9" x14ac:dyDescent="0.3">
      <c r="A1945" t="s">
        <v>10150</v>
      </c>
      <c r="B1945" t="s">
        <v>42</v>
      </c>
      <c r="C1945">
        <v>7648876604</v>
      </c>
      <c r="D1945" s="2">
        <v>1</v>
      </c>
      <c r="E1945" t="str">
        <f>"4574674200744118"</f>
        <v>4574674200744118</v>
      </c>
      <c r="F1945" t="str">
        <f>"700"</f>
        <v>700</v>
      </c>
      <c r="G1945">
        <v>1</v>
      </c>
      <c r="H1945">
        <v>2023</v>
      </c>
      <c r="I1945" t="s">
        <v>2060</v>
      </c>
    </row>
    <row r="1946" spans="1:9" x14ac:dyDescent="0.3">
      <c r="A1946" t="s">
        <v>10150</v>
      </c>
      <c r="B1946" t="s">
        <v>42</v>
      </c>
      <c r="C1946">
        <v>7648876604</v>
      </c>
      <c r="D1946" s="2">
        <v>1</v>
      </c>
      <c r="E1946" t="str">
        <f>"4574674200744142"</f>
        <v>4574674200744142</v>
      </c>
      <c r="F1946" t="str">
        <f>"754"</f>
        <v>754</v>
      </c>
      <c r="G1946">
        <v>1</v>
      </c>
      <c r="H1946">
        <v>2023</v>
      </c>
      <c r="I1946" t="s">
        <v>2061</v>
      </c>
    </row>
    <row r="1947" spans="1:9" x14ac:dyDescent="0.3">
      <c r="A1947" t="s">
        <v>10150</v>
      </c>
      <c r="B1947" t="s">
        <v>42</v>
      </c>
      <c r="C1947">
        <v>7648876604</v>
      </c>
      <c r="D1947" s="2">
        <v>1</v>
      </c>
      <c r="E1947" t="str">
        <f>"4574674200744464"</f>
        <v>4574674200744464</v>
      </c>
      <c r="F1947" t="str">
        <f>"891"</f>
        <v>891</v>
      </c>
      <c r="G1947">
        <v>1</v>
      </c>
      <c r="H1947">
        <v>2023</v>
      </c>
      <c r="I1947" t="s">
        <v>2062</v>
      </c>
    </row>
    <row r="1948" spans="1:9" x14ac:dyDescent="0.3">
      <c r="A1948" t="s">
        <v>10150</v>
      </c>
      <c r="B1948" t="s">
        <v>42</v>
      </c>
      <c r="C1948">
        <v>7648876604</v>
      </c>
      <c r="D1948" s="2">
        <v>1</v>
      </c>
      <c r="E1948" t="str">
        <f>"4574674200744175"</f>
        <v>4574674200744175</v>
      </c>
      <c r="F1948" t="str">
        <f>"020"</f>
        <v>020</v>
      </c>
      <c r="G1948">
        <v>1</v>
      </c>
      <c r="H1948">
        <v>2023</v>
      </c>
      <c r="I1948" t="s">
        <v>2063</v>
      </c>
    </row>
    <row r="1949" spans="1:9" x14ac:dyDescent="0.3">
      <c r="A1949" t="s">
        <v>10150</v>
      </c>
      <c r="B1949" t="s">
        <v>42</v>
      </c>
      <c r="C1949">
        <v>7648876604</v>
      </c>
      <c r="D1949" s="2">
        <v>1</v>
      </c>
      <c r="E1949" t="str">
        <f>"4574674200744183"</f>
        <v>4574674200744183</v>
      </c>
      <c r="F1949" t="str">
        <f>"484"</f>
        <v>484</v>
      </c>
      <c r="G1949">
        <v>1</v>
      </c>
      <c r="H1949">
        <v>2023</v>
      </c>
      <c r="I1949" t="s">
        <v>2064</v>
      </c>
    </row>
    <row r="1950" spans="1:9" x14ac:dyDescent="0.3">
      <c r="A1950" t="s">
        <v>10150</v>
      </c>
      <c r="B1950" t="s">
        <v>42</v>
      </c>
      <c r="C1950">
        <v>7648876604</v>
      </c>
      <c r="D1950" s="2">
        <v>1</v>
      </c>
      <c r="E1950" t="str">
        <f>"4574674200744530"</f>
        <v>4574674200744530</v>
      </c>
      <c r="F1950" t="str">
        <f>"973"</f>
        <v>973</v>
      </c>
      <c r="G1950">
        <v>1</v>
      </c>
      <c r="H1950">
        <v>2023</v>
      </c>
      <c r="I1950" t="s">
        <v>2065</v>
      </c>
    </row>
    <row r="1951" spans="1:9" x14ac:dyDescent="0.3">
      <c r="A1951" t="s">
        <v>10151</v>
      </c>
      <c r="B1951" t="s">
        <v>43</v>
      </c>
      <c r="C1951">
        <v>7648876604</v>
      </c>
      <c r="D1951" s="2">
        <v>1</v>
      </c>
      <c r="E1951" t="str">
        <f>"4574674200744803"</f>
        <v>4574674200744803</v>
      </c>
      <c r="F1951" t="str">
        <f>"972"</f>
        <v>972</v>
      </c>
      <c r="G1951">
        <v>1</v>
      </c>
      <c r="H1951">
        <v>2023</v>
      </c>
      <c r="I1951" t="s">
        <v>2066</v>
      </c>
    </row>
    <row r="1952" spans="1:9" x14ac:dyDescent="0.3">
      <c r="A1952" t="s">
        <v>10151</v>
      </c>
      <c r="B1952" t="s">
        <v>43</v>
      </c>
      <c r="C1952">
        <v>7648876604</v>
      </c>
      <c r="D1952" s="2">
        <v>1</v>
      </c>
      <c r="E1952" t="str">
        <f>"4574674200744688"</f>
        <v>4574674200744688</v>
      </c>
      <c r="F1952" t="str">
        <f>"894"</f>
        <v>894</v>
      </c>
      <c r="G1952">
        <v>1</v>
      </c>
      <c r="H1952">
        <v>2023</v>
      </c>
      <c r="I1952" t="s">
        <v>2067</v>
      </c>
    </row>
    <row r="1953" spans="1:9" x14ac:dyDescent="0.3">
      <c r="A1953" t="s">
        <v>10151</v>
      </c>
      <c r="B1953" t="s">
        <v>43</v>
      </c>
      <c r="C1953">
        <v>7648876604</v>
      </c>
      <c r="D1953" s="2">
        <v>1</v>
      </c>
      <c r="E1953" t="str">
        <f>"4574674200744654"</f>
        <v>4574674200744654</v>
      </c>
      <c r="F1953" t="str">
        <f>"901"</f>
        <v>901</v>
      </c>
      <c r="G1953">
        <v>1</v>
      </c>
      <c r="H1953">
        <v>2023</v>
      </c>
      <c r="I1953" t="s">
        <v>2068</v>
      </c>
    </row>
    <row r="1954" spans="1:9" x14ac:dyDescent="0.3">
      <c r="A1954" t="s">
        <v>10151</v>
      </c>
      <c r="B1954" t="s">
        <v>43</v>
      </c>
      <c r="C1954">
        <v>7648876604</v>
      </c>
      <c r="D1954" s="2">
        <v>1</v>
      </c>
      <c r="E1954" t="str">
        <f>"4574674200744670"</f>
        <v>4574674200744670</v>
      </c>
      <c r="F1954" t="str">
        <f>"232"</f>
        <v>232</v>
      </c>
      <c r="G1954">
        <v>1</v>
      </c>
      <c r="H1954">
        <v>2023</v>
      </c>
      <c r="I1954" t="s">
        <v>2069</v>
      </c>
    </row>
    <row r="1955" spans="1:9" x14ac:dyDescent="0.3">
      <c r="A1955" t="s">
        <v>10151</v>
      </c>
      <c r="B1955" t="s">
        <v>43</v>
      </c>
      <c r="C1955">
        <v>7648876604</v>
      </c>
      <c r="D1955" s="2">
        <v>1</v>
      </c>
      <c r="E1955" t="str">
        <f>"4574674200744696"</f>
        <v>4574674200744696</v>
      </c>
      <c r="F1955" t="str">
        <f>"974"</f>
        <v>974</v>
      </c>
      <c r="G1955">
        <v>1</v>
      </c>
      <c r="H1955">
        <v>2023</v>
      </c>
      <c r="I1955" t="s">
        <v>2070</v>
      </c>
    </row>
    <row r="1956" spans="1:9" x14ac:dyDescent="0.3">
      <c r="A1956" t="s">
        <v>10151</v>
      </c>
      <c r="B1956" t="s">
        <v>43</v>
      </c>
      <c r="C1956">
        <v>7648876604</v>
      </c>
      <c r="D1956" s="2">
        <v>1</v>
      </c>
      <c r="E1956" t="str">
        <f>"4574674200744738"</f>
        <v>4574674200744738</v>
      </c>
      <c r="F1956" t="str">
        <f>"922"</f>
        <v>922</v>
      </c>
      <c r="G1956">
        <v>1</v>
      </c>
      <c r="H1956">
        <v>2023</v>
      </c>
      <c r="I1956" t="s">
        <v>2071</v>
      </c>
    </row>
    <row r="1957" spans="1:9" x14ac:dyDescent="0.3">
      <c r="A1957" t="s">
        <v>10151</v>
      </c>
      <c r="B1957" t="s">
        <v>43</v>
      </c>
      <c r="C1957">
        <v>7648876604</v>
      </c>
      <c r="D1957" s="2">
        <v>1</v>
      </c>
      <c r="E1957" t="str">
        <f>"4574674200744977"</f>
        <v>4574674200744977</v>
      </c>
      <c r="F1957" t="str">
        <f>"822"</f>
        <v>822</v>
      </c>
      <c r="G1957">
        <v>1</v>
      </c>
      <c r="H1957">
        <v>2023</v>
      </c>
      <c r="I1957" t="s">
        <v>2072</v>
      </c>
    </row>
    <row r="1958" spans="1:9" x14ac:dyDescent="0.3">
      <c r="A1958" t="s">
        <v>10151</v>
      </c>
      <c r="B1958" t="s">
        <v>43</v>
      </c>
      <c r="C1958">
        <v>7648876604</v>
      </c>
      <c r="D1958" s="2">
        <v>1</v>
      </c>
      <c r="E1958" t="str">
        <f>"4574674200744993"</f>
        <v>4574674200744993</v>
      </c>
      <c r="F1958" t="str">
        <f>"739"</f>
        <v>739</v>
      </c>
      <c r="G1958">
        <v>1</v>
      </c>
      <c r="H1958">
        <v>2023</v>
      </c>
      <c r="I1958" t="s">
        <v>2073</v>
      </c>
    </row>
    <row r="1959" spans="1:9" x14ac:dyDescent="0.3">
      <c r="A1959" t="s">
        <v>10151</v>
      </c>
      <c r="B1959" t="s">
        <v>43</v>
      </c>
      <c r="C1959">
        <v>7648876604</v>
      </c>
      <c r="D1959" s="2">
        <v>1</v>
      </c>
      <c r="E1959" t="str">
        <f>"4574674200744761"</f>
        <v>4574674200744761</v>
      </c>
      <c r="F1959" t="str">
        <f>"453"</f>
        <v>453</v>
      </c>
      <c r="G1959">
        <v>1</v>
      </c>
      <c r="H1959">
        <v>2023</v>
      </c>
      <c r="I1959" t="s">
        <v>2074</v>
      </c>
    </row>
    <row r="1960" spans="1:9" x14ac:dyDescent="0.3">
      <c r="A1960" t="s">
        <v>10151</v>
      </c>
      <c r="B1960" t="s">
        <v>43</v>
      </c>
      <c r="C1960">
        <v>7648876604</v>
      </c>
      <c r="D1960" s="2">
        <v>1</v>
      </c>
      <c r="E1960" t="str">
        <f>"4574674200744787"</f>
        <v>4574674200744787</v>
      </c>
      <c r="F1960" t="str">
        <f>"314"</f>
        <v>314</v>
      </c>
      <c r="G1960">
        <v>1</v>
      </c>
      <c r="H1960">
        <v>2023</v>
      </c>
      <c r="I1960" t="s">
        <v>2075</v>
      </c>
    </row>
    <row r="1961" spans="1:9" x14ac:dyDescent="0.3">
      <c r="A1961" t="s">
        <v>10152</v>
      </c>
      <c r="B1961" t="s">
        <v>44</v>
      </c>
      <c r="C1961">
        <v>7648876604</v>
      </c>
      <c r="D1961" s="2">
        <v>1</v>
      </c>
      <c r="E1961" t="str">
        <f>"4574674200745206"</f>
        <v>4574674200745206</v>
      </c>
      <c r="F1961" t="str">
        <f>"977"</f>
        <v>977</v>
      </c>
      <c r="G1961">
        <v>1</v>
      </c>
      <c r="H1961">
        <v>2023</v>
      </c>
      <c r="I1961" t="s">
        <v>2076</v>
      </c>
    </row>
    <row r="1962" spans="1:9" x14ac:dyDescent="0.3">
      <c r="A1962" t="s">
        <v>10152</v>
      </c>
      <c r="B1962" t="s">
        <v>44</v>
      </c>
      <c r="C1962">
        <v>7648876604</v>
      </c>
      <c r="D1962" s="2">
        <v>1</v>
      </c>
      <c r="E1962" t="str">
        <f>"4574674200745214"</f>
        <v>4574674200745214</v>
      </c>
      <c r="F1962" t="str">
        <f>"548"</f>
        <v>548</v>
      </c>
      <c r="G1962">
        <v>1</v>
      </c>
      <c r="H1962">
        <v>2023</v>
      </c>
      <c r="I1962" t="s">
        <v>2077</v>
      </c>
    </row>
    <row r="1963" spans="1:9" x14ac:dyDescent="0.3">
      <c r="A1963" t="s">
        <v>10152</v>
      </c>
      <c r="B1963" t="s">
        <v>44</v>
      </c>
      <c r="C1963">
        <v>7648876604</v>
      </c>
      <c r="D1963" s="2">
        <v>1</v>
      </c>
      <c r="E1963" t="str">
        <f>"4574674200745115"</f>
        <v>4574674200745115</v>
      </c>
      <c r="F1963" t="str">
        <f>"954"</f>
        <v>954</v>
      </c>
      <c r="G1963">
        <v>1</v>
      </c>
      <c r="H1963">
        <v>2023</v>
      </c>
      <c r="I1963" t="s">
        <v>2078</v>
      </c>
    </row>
    <row r="1964" spans="1:9" x14ac:dyDescent="0.3">
      <c r="A1964" t="s">
        <v>10152</v>
      </c>
      <c r="B1964" t="s">
        <v>44</v>
      </c>
      <c r="C1964">
        <v>7648876604</v>
      </c>
      <c r="D1964" s="2">
        <v>1</v>
      </c>
      <c r="E1964" t="str">
        <f>"4574674200745156"</f>
        <v>4574674200745156</v>
      </c>
      <c r="F1964" t="str">
        <f>"257"</f>
        <v>257</v>
      </c>
      <c r="G1964">
        <v>1</v>
      </c>
      <c r="H1964">
        <v>2023</v>
      </c>
      <c r="I1964" t="s">
        <v>2079</v>
      </c>
    </row>
    <row r="1965" spans="1:9" x14ac:dyDescent="0.3">
      <c r="A1965" t="s">
        <v>10152</v>
      </c>
      <c r="B1965" t="s">
        <v>44</v>
      </c>
      <c r="C1965">
        <v>7648876604</v>
      </c>
      <c r="D1965" s="2">
        <v>1</v>
      </c>
      <c r="E1965" t="str">
        <f>"4574674200745248"</f>
        <v>4574674200745248</v>
      </c>
      <c r="F1965" t="str">
        <f>"344"</f>
        <v>344</v>
      </c>
      <c r="G1965">
        <v>1</v>
      </c>
      <c r="H1965">
        <v>2023</v>
      </c>
      <c r="I1965" t="s">
        <v>2080</v>
      </c>
    </row>
    <row r="1966" spans="1:9" x14ac:dyDescent="0.3">
      <c r="A1966" t="s">
        <v>10152</v>
      </c>
      <c r="B1966" t="s">
        <v>44</v>
      </c>
      <c r="C1966">
        <v>7648876604</v>
      </c>
      <c r="D1966" s="2">
        <v>1</v>
      </c>
      <c r="E1966" t="str">
        <f>"4574674200745297"</f>
        <v>4574674200745297</v>
      </c>
      <c r="F1966" t="str">
        <f>"920"</f>
        <v>920</v>
      </c>
      <c r="G1966">
        <v>1</v>
      </c>
      <c r="H1966">
        <v>2023</v>
      </c>
      <c r="I1966" t="s">
        <v>2081</v>
      </c>
    </row>
    <row r="1967" spans="1:9" x14ac:dyDescent="0.3">
      <c r="A1967" t="s">
        <v>10152</v>
      </c>
      <c r="B1967" t="s">
        <v>44</v>
      </c>
      <c r="C1967">
        <v>7648876604</v>
      </c>
      <c r="D1967" s="2">
        <v>1</v>
      </c>
      <c r="E1967" t="str">
        <f>"4574674200745461"</f>
        <v>4574674200745461</v>
      </c>
      <c r="F1967" t="str">
        <f>"969"</f>
        <v>969</v>
      </c>
      <c r="G1967">
        <v>1</v>
      </c>
      <c r="H1967">
        <v>2023</v>
      </c>
      <c r="I1967" t="s">
        <v>2082</v>
      </c>
    </row>
    <row r="1968" spans="1:9" x14ac:dyDescent="0.3">
      <c r="A1968" t="s">
        <v>10152</v>
      </c>
      <c r="B1968" t="s">
        <v>44</v>
      </c>
      <c r="C1968">
        <v>7648876604</v>
      </c>
      <c r="D1968" s="2">
        <v>1</v>
      </c>
      <c r="E1968" t="str">
        <f>"4574674200745305"</f>
        <v>4574674200745305</v>
      </c>
      <c r="F1968" t="str">
        <f>"990"</f>
        <v>990</v>
      </c>
      <c r="G1968">
        <v>1</v>
      </c>
      <c r="H1968">
        <v>2023</v>
      </c>
      <c r="I1968" t="s">
        <v>2083</v>
      </c>
    </row>
    <row r="1969" spans="1:9" x14ac:dyDescent="0.3">
      <c r="A1969" t="s">
        <v>10152</v>
      </c>
      <c r="B1969" t="s">
        <v>44</v>
      </c>
      <c r="C1969">
        <v>7648876604</v>
      </c>
      <c r="D1969" s="2">
        <v>1</v>
      </c>
      <c r="E1969" t="str">
        <f>"4574674200745529"</f>
        <v>4574674200745529</v>
      </c>
      <c r="F1969" t="str">
        <f>"703"</f>
        <v>703</v>
      </c>
      <c r="G1969">
        <v>1</v>
      </c>
      <c r="H1969">
        <v>2023</v>
      </c>
      <c r="I1969" t="s">
        <v>2084</v>
      </c>
    </row>
    <row r="1970" spans="1:9" x14ac:dyDescent="0.3">
      <c r="A1970" t="s">
        <v>10152</v>
      </c>
      <c r="B1970" t="s">
        <v>44</v>
      </c>
      <c r="C1970">
        <v>7648876604</v>
      </c>
      <c r="D1970" s="2">
        <v>1</v>
      </c>
      <c r="E1970" t="str">
        <f>"4574674200745347"</f>
        <v>4574674200745347</v>
      </c>
      <c r="F1970" t="str">
        <f>"210"</f>
        <v>210</v>
      </c>
      <c r="G1970">
        <v>1</v>
      </c>
      <c r="H1970">
        <v>2023</v>
      </c>
      <c r="I1970" t="s">
        <v>2085</v>
      </c>
    </row>
    <row r="1971" spans="1:9" x14ac:dyDescent="0.3">
      <c r="A1971" t="s">
        <v>10162</v>
      </c>
      <c r="B1971" t="s">
        <v>54</v>
      </c>
      <c r="C1971">
        <v>8989697390</v>
      </c>
      <c r="D1971" s="2">
        <v>1</v>
      </c>
      <c r="E1971" t="str">
        <f>"4574674200745339"</f>
        <v>4574674200745339</v>
      </c>
      <c r="F1971" t="str">
        <f>"220"</f>
        <v>220</v>
      </c>
      <c r="G1971">
        <v>1</v>
      </c>
      <c r="H1971">
        <v>2023</v>
      </c>
      <c r="I1971" t="s">
        <v>2086</v>
      </c>
    </row>
    <row r="1972" spans="1:9" x14ac:dyDescent="0.3">
      <c r="A1972" t="s">
        <v>10162</v>
      </c>
      <c r="B1972" t="s">
        <v>54</v>
      </c>
      <c r="C1972">
        <v>8989697390</v>
      </c>
      <c r="D1972" s="2">
        <v>1</v>
      </c>
      <c r="E1972" t="str">
        <f>"4574674200745354"</f>
        <v>4574674200745354</v>
      </c>
      <c r="F1972" t="str">
        <f>"084"</f>
        <v>084</v>
      </c>
      <c r="G1972">
        <v>1</v>
      </c>
      <c r="H1972">
        <v>2023</v>
      </c>
      <c r="I1972" t="s">
        <v>2087</v>
      </c>
    </row>
    <row r="1973" spans="1:9" x14ac:dyDescent="0.3">
      <c r="A1973" t="s">
        <v>10162</v>
      </c>
      <c r="B1973" t="s">
        <v>54</v>
      </c>
      <c r="C1973">
        <v>8989697390</v>
      </c>
      <c r="D1973" s="2">
        <v>1</v>
      </c>
      <c r="E1973" t="str">
        <f>"4574674200745669"</f>
        <v>4574674200745669</v>
      </c>
      <c r="F1973" t="str">
        <f>"788"</f>
        <v>788</v>
      </c>
      <c r="G1973">
        <v>1</v>
      </c>
      <c r="H1973">
        <v>2023</v>
      </c>
      <c r="I1973" t="s">
        <v>2088</v>
      </c>
    </row>
    <row r="1974" spans="1:9" x14ac:dyDescent="0.3">
      <c r="A1974" t="s">
        <v>10162</v>
      </c>
      <c r="B1974" t="s">
        <v>54</v>
      </c>
      <c r="C1974">
        <v>8989697390</v>
      </c>
      <c r="D1974" s="2">
        <v>1</v>
      </c>
      <c r="E1974" t="str">
        <f>"4574674200745685"</f>
        <v>4574674200745685</v>
      </c>
      <c r="F1974" t="str">
        <f>"382"</f>
        <v>382</v>
      </c>
      <c r="G1974">
        <v>1</v>
      </c>
      <c r="H1974">
        <v>2023</v>
      </c>
      <c r="I1974" t="s">
        <v>2089</v>
      </c>
    </row>
    <row r="1975" spans="1:9" x14ac:dyDescent="0.3">
      <c r="A1975" t="s">
        <v>10162</v>
      </c>
      <c r="B1975" t="s">
        <v>54</v>
      </c>
      <c r="C1975">
        <v>8989697390</v>
      </c>
      <c r="D1975" s="2">
        <v>1</v>
      </c>
      <c r="E1975" t="str">
        <f>"4574674200745800"</f>
        <v>4574674200745800</v>
      </c>
      <c r="F1975" t="str">
        <f>"362"</f>
        <v>362</v>
      </c>
      <c r="G1975">
        <v>1</v>
      </c>
      <c r="H1975">
        <v>2023</v>
      </c>
      <c r="I1975" t="s">
        <v>2090</v>
      </c>
    </row>
    <row r="1976" spans="1:9" x14ac:dyDescent="0.3">
      <c r="A1976" t="s">
        <v>10162</v>
      </c>
      <c r="B1976" t="s">
        <v>54</v>
      </c>
      <c r="C1976">
        <v>8989697390</v>
      </c>
      <c r="D1976" s="2">
        <v>1</v>
      </c>
      <c r="E1976" t="str">
        <f>"4574674200745826"</f>
        <v>4574674200745826</v>
      </c>
      <c r="F1976" t="str">
        <f>"190"</f>
        <v>190</v>
      </c>
      <c r="G1976">
        <v>1</v>
      </c>
      <c r="H1976">
        <v>2023</v>
      </c>
      <c r="I1976" t="s">
        <v>2091</v>
      </c>
    </row>
    <row r="1977" spans="1:9" x14ac:dyDescent="0.3">
      <c r="A1977" t="s">
        <v>10162</v>
      </c>
      <c r="B1977" t="s">
        <v>54</v>
      </c>
      <c r="C1977">
        <v>8989697390</v>
      </c>
      <c r="D1977" s="2">
        <v>1</v>
      </c>
      <c r="E1977" t="str">
        <f>"4574674200745859"</f>
        <v>4574674200745859</v>
      </c>
      <c r="F1977" t="str">
        <f>"188"</f>
        <v>188</v>
      </c>
      <c r="G1977">
        <v>1</v>
      </c>
      <c r="H1977">
        <v>2023</v>
      </c>
      <c r="I1977" t="s">
        <v>2092</v>
      </c>
    </row>
    <row r="1978" spans="1:9" x14ac:dyDescent="0.3">
      <c r="A1978" t="s">
        <v>10162</v>
      </c>
      <c r="B1978" t="s">
        <v>54</v>
      </c>
      <c r="C1978">
        <v>8989697390</v>
      </c>
      <c r="D1978" s="2">
        <v>1</v>
      </c>
      <c r="E1978" t="str">
        <f>"4574674200745867"</f>
        <v>4574674200745867</v>
      </c>
      <c r="F1978" t="str">
        <f>"423"</f>
        <v>423</v>
      </c>
      <c r="G1978">
        <v>1</v>
      </c>
      <c r="H1978">
        <v>2023</v>
      </c>
      <c r="I1978" t="s">
        <v>2093</v>
      </c>
    </row>
    <row r="1979" spans="1:9" x14ac:dyDescent="0.3">
      <c r="A1979" t="s">
        <v>10162</v>
      </c>
      <c r="B1979" t="s">
        <v>54</v>
      </c>
      <c r="C1979">
        <v>8989697390</v>
      </c>
      <c r="D1979" s="2">
        <v>1</v>
      </c>
      <c r="E1979" t="str">
        <f>"4574674200745875"</f>
        <v>4574674200745875</v>
      </c>
      <c r="F1979" t="str">
        <f>"210"</f>
        <v>210</v>
      </c>
      <c r="G1979">
        <v>1</v>
      </c>
      <c r="H1979">
        <v>2023</v>
      </c>
      <c r="I1979" t="s">
        <v>2094</v>
      </c>
    </row>
    <row r="1980" spans="1:9" x14ac:dyDescent="0.3">
      <c r="A1980" t="s">
        <v>10162</v>
      </c>
      <c r="B1980" t="s">
        <v>54</v>
      </c>
      <c r="C1980">
        <v>8989697390</v>
      </c>
      <c r="D1980" s="2">
        <v>1</v>
      </c>
      <c r="E1980" t="str">
        <f>"4574674200745917"</f>
        <v>4574674200745917</v>
      </c>
      <c r="F1980" t="str">
        <f>"764"</f>
        <v>764</v>
      </c>
      <c r="G1980">
        <v>1</v>
      </c>
      <c r="H1980">
        <v>2023</v>
      </c>
      <c r="I1980" t="s">
        <v>2095</v>
      </c>
    </row>
    <row r="1981" spans="1:9" x14ac:dyDescent="0.3">
      <c r="A1981" t="s">
        <v>10140</v>
      </c>
      <c r="B1981" t="s">
        <v>55</v>
      </c>
      <c r="C1981">
        <v>8989697390</v>
      </c>
      <c r="D1981" s="2">
        <v>1</v>
      </c>
      <c r="E1981" t="str">
        <f>"4574674200746105"</f>
        <v>4574674200746105</v>
      </c>
      <c r="F1981" t="str">
        <f>"405"</f>
        <v>405</v>
      </c>
      <c r="G1981">
        <v>1</v>
      </c>
      <c r="H1981">
        <v>2023</v>
      </c>
      <c r="I1981" t="s">
        <v>2096</v>
      </c>
    </row>
    <row r="1982" spans="1:9" x14ac:dyDescent="0.3">
      <c r="A1982" t="s">
        <v>10140</v>
      </c>
      <c r="B1982" t="s">
        <v>55</v>
      </c>
      <c r="C1982">
        <v>8989697390</v>
      </c>
      <c r="D1982" s="2">
        <v>1</v>
      </c>
      <c r="E1982" t="str">
        <f>"4574674200745966"</f>
        <v>4574674200745966</v>
      </c>
      <c r="F1982" t="str">
        <f>"144"</f>
        <v>144</v>
      </c>
      <c r="G1982">
        <v>1</v>
      </c>
      <c r="H1982">
        <v>2023</v>
      </c>
      <c r="I1982" t="s">
        <v>2097</v>
      </c>
    </row>
    <row r="1983" spans="1:9" x14ac:dyDescent="0.3">
      <c r="A1983" t="s">
        <v>10140</v>
      </c>
      <c r="B1983" t="s">
        <v>55</v>
      </c>
      <c r="C1983">
        <v>8989697390</v>
      </c>
      <c r="D1983" s="2">
        <v>1</v>
      </c>
      <c r="E1983" t="str">
        <f>"4574674200745974"</f>
        <v>4574674200745974</v>
      </c>
      <c r="F1983" t="str">
        <f>"970"</f>
        <v>970</v>
      </c>
      <c r="G1983">
        <v>1</v>
      </c>
      <c r="H1983">
        <v>2023</v>
      </c>
      <c r="I1983" t="s">
        <v>2098</v>
      </c>
    </row>
    <row r="1984" spans="1:9" x14ac:dyDescent="0.3">
      <c r="A1984" t="s">
        <v>10140</v>
      </c>
      <c r="B1984" t="s">
        <v>55</v>
      </c>
      <c r="C1984">
        <v>8989697390</v>
      </c>
      <c r="D1984" s="2">
        <v>1</v>
      </c>
      <c r="E1984" t="str">
        <f>"4574674200745982"</f>
        <v>4574674200745982</v>
      </c>
      <c r="F1984" t="str">
        <f>"490"</f>
        <v>490</v>
      </c>
      <c r="G1984">
        <v>1</v>
      </c>
      <c r="H1984">
        <v>2023</v>
      </c>
      <c r="I1984" t="s">
        <v>2099</v>
      </c>
    </row>
    <row r="1985" spans="1:9" x14ac:dyDescent="0.3">
      <c r="A1985" t="s">
        <v>10140</v>
      </c>
      <c r="B1985" t="s">
        <v>55</v>
      </c>
      <c r="C1985">
        <v>8989697390</v>
      </c>
      <c r="D1985" s="2">
        <v>1</v>
      </c>
      <c r="E1985" t="str">
        <f>"4574674200745990"</f>
        <v>4574674200745990</v>
      </c>
      <c r="F1985" t="str">
        <f>"001"</f>
        <v>001</v>
      </c>
      <c r="G1985">
        <v>1</v>
      </c>
      <c r="H1985">
        <v>2023</v>
      </c>
      <c r="I1985" t="s">
        <v>2100</v>
      </c>
    </row>
    <row r="1986" spans="1:9" x14ac:dyDescent="0.3">
      <c r="A1986" t="s">
        <v>10140</v>
      </c>
      <c r="B1986" t="s">
        <v>55</v>
      </c>
      <c r="C1986">
        <v>8989697390</v>
      </c>
      <c r="D1986" s="2">
        <v>1</v>
      </c>
      <c r="E1986" t="str">
        <f>"4574674200746279"</f>
        <v>4574674200746279</v>
      </c>
      <c r="F1986" t="str">
        <f>"083"</f>
        <v>083</v>
      </c>
      <c r="G1986">
        <v>1</v>
      </c>
      <c r="H1986">
        <v>2023</v>
      </c>
      <c r="I1986" t="s">
        <v>2101</v>
      </c>
    </row>
    <row r="1987" spans="1:9" x14ac:dyDescent="0.3">
      <c r="A1987" t="s">
        <v>10140</v>
      </c>
      <c r="B1987" t="s">
        <v>55</v>
      </c>
      <c r="C1987">
        <v>8989697390</v>
      </c>
      <c r="D1987" s="2">
        <v>1</v>
      </c>
      <c r="E1987" t="str">
        <f>"4574674200746436"</f>
        <v>4574674200746436</v>
      </c>
      <c r="F1987" t="str">
        <f>"601"</f>
        <v>601</v>
      </c>
      <c r="G1987">
        <v>1</v>
      </c>
      <c r="H1987">
        <v>2023</v>
      </c>
      <c r="I1987" t="s">
        <v>2102</v>
      </c>
    </row>
    <row r="1988" spans="1:9" x14ac:dyDescent="0.3">
      <c r="A1988" t="s">
        <v>10140</v>
      </c>
      <c r="B1988" t="s">
        <v>55</v>
      </c>
      <c r="C1988">
        <v>8989697390</v>
      </c>
      <c r="D1988" s="2">
        <v>1</v>
      </c>
      <c r="E1988" t="str">
        <f>"4574674200746360"</f>
        <v>4574674200746360</v>
      </c>
      <c r="F1988" t="str">
        <f>"747"</f>
        <v>747</v>
      </c>
      <c r="G1988">
        <v>1</v>
      </c>
      <c r="H1988">
        <v>2023</v>
      </c>
      <c r="I1988" t="s">
        <v>2103</v>
      </c>
    </row>
    <row r="1989" spans="1:9" x14ac:dyDescent="0.3">
      <c r="A1989" t="s">
        <v>10140</v>
      </c>
      <c r="B1989" t="s">
        <v>55</v>
      </c>
      <c r="C1989">
        <v>8989697390</v>
      </c>
      <c r="D1989" s="2">
        <v>1</v>
      </c>
      <c r="E1989" t="str">
        <f>"4574674200746477"</f>
        <v>4574674200746477</v>
      </c>
      <c r="F1989" t="str">
        <f>"809"</f>
        <v>809</v>
      </c>
      <c r="G1989">
        <v>1</v>
      </c>
      <c r="H1989">
        <v>2023</v>
      </c>
      <c r="I1989" t="s">
        <v>2104</v>
      </c>
    </row>
    <row r="1990" spans="1:9" x14ac:dyDescent="0.3">
      <c r="A1990" t="s">
        <v>10140</v>
      </c>
      <c r="B1990" t="s">
        <v>55</v>
      </c>
      <c r="C1990">
        <v>8989697390</v>
      </c>
      <c r="D1990" s="2">
        <v>1</v>
      </c>
      <c r="E1990" t="str">
        <f>"4574674200746469"</f>
        <v>4574674200746469</v>
      </c>
      <c r="F1990" t="str">
        <f>"400"</f>
        <v>400</v>
      </c>
      <c r="G1990">
        <v>1</v>
      </c>
      <c r="H1990">
        <v>2023</v>
      </c>
      <c r="I1990" t="s">
        <v>2105</v>
      </c>
    </row>
    <row r="1991" spans="1:9" x14ac:dyDescent="0.3">
      <c r="A1991" t="s">
        <v>10133</v>
      </c>
      <c r="B1991" t="s">
        <v>56</v>
      </c>
      <c r="C1991">
        <v>8989697390</v>
      </c>
      <c r="D1991" s="2">
        <v>1</v>
      </c>
      <c r="E1991" t="str">
        <f>"4574674200746493"</f>
        <v>4574674200746493</v>
      </c>
      <c r="F1991" t="str">
        <f>"191"</f>
        <v>191</v>
      </c>
      <c r="G1991">
        <v>1</v>
      </c>
      <c r="H1991">
        <v>2023</v>
      </c>
      <c r="I1991" t="s">
        <v>2106</v>
      </c>
    </row>
    <row r="1992" spans="1:9" x14ac:dyDescent="0.3">
      <c r="A1992" t="s">
        <v>10133</v>
      </c>
      <c r="B1992" t="s">
        <v>56</v>
      </c>
      <c r="C1992">
        <v>8989697390</v>
      </c>
      <c r="D1992" s="2">
        <v>1</v>
      </c>
      <c r="E1992" t="str">
        <f>"4574674200746451"</f>
        <v>4574674200746451</v>
      </c>
      <c r="F1992" t="str">
        <f>"611"</f>
        <v>611</v>
      </c>
      <c r="G1992">
        <v>1</v>
      </c>
      <c r="H1992">
        <v>2023</v>
      </c>
      <c r="I1992" t="s">
        <v>2107</v>
      </c>
    </row>
    <row r="1993" spans="1:9" x14ac:dyDescent="0.3">
      <c r="A1993" t="s">
        <v>10133</v>
      </c>
      <c r="B1993" t="s">
        <v>56</v>
      </c>
      <c r="C1993">
        <v>8989697390</v>
      </c>
      <c r="D1993" s="2">
        <v>1</v>
      </c>
      <c r="E1993" t="str">
        <f>"4574674200746600"</f>
        <v>4574674200746600</v>
      </c>
      <c r="F1993" t="str">
        <f>"981"</f>
        <v>981</v>
      </c>
      <c r="G1993">
        <v>1</v>
      </c>
      <c r="H1993">
        <v>2023</v>
      </c>
      <c r="I1993" t="s">
        <v>2108</v>
      </c>
    </row>
    <row r="1994" spans="1:9" x14ac:dyDescent="0.3">
      <c r="A1994" t="s">
        <v>10133</v>
      </c>
      <c r="B1994" t="s">
        <v>56</v>
      </c>
      <c r="C1994">
        <v>8989697390</v>
      </c>
      <c r="D1994" s="2">
        <v>1</v>
      </c>
      <c r="E1994" t="str">
        <f>"4574674200746543"</f>
        <v>4574674200746543</v>
      </c>
      <c r="F1994" t="str">
        <f>"535"</f>
        <v>535</v>
      </c>
      <c r="G1994">
        <v>1</v>
      </c>
      <c r="H1994">
        <v>2023</v>
      </c>
      <c r="I1994" t="s">
        <v>2109</v>
      </c>
    </row>
    <row r="1995" spans="1:9" x14ac:dyDescent="0.3">
      <c r="A1995" t="s">
        <v>10133</v>
      </c>
      <c r="B1995" t="s">
        <v>56</v>
      </c>
      <c r="C1995">
        <v>8989697390</v>
      </c>
      <c r="D1995" s="2">
        <v>1</v>
      </c>
      <c r="E1995" t="str">
        <f>"4574674200746576"</f>
        <v>4574674200746576</v>
      </c>
      <c r="F1995" t="str">
        <f>"303"</f>
        <v>303</v>
      </c>
      <c r="G1995">
        <v>1</v>
      </c>
      <c r="H1995">
        <v>2023</v>
      </c>
      <c r="I1995" t="s">
        <v>2110</v>
      </c>
    </row>
    <row r="1996" spans="1:9" x14ac:dyDescent="0.3">
      <c r="A1996" t="s">
        <v>10133</v>
      </c>
      <c r="B1996" t="s">
        <v>56</v>
      </c>
      <c r="C1996">
        <v>8989697390</v>
      </c>
      <c r="D1996" s="2">
        <v>1</v>
      </c>
      <c r="E1996" t="str">
        <f>"4574674200746808"</f>
        <v>4574674200746808</v>
      </c>
      <c r="F1996" t="str">
        <f>"765"</f>
        <v>765</v>
      </c>
      <c r="G1996">
        <v>1</v>
      </c>
      <c r="H1996">
        <v>2023</v>
      </c>
      <c r="I1996" t="s">
        <v>2111</v>
      </c>
    </row>
    <row r="1997" spans="1:9" x14ac:dyDescent="0.3">
      <c r="A1997" t="s">
        <v>10133</v>
      </c>
      <c r="B1997" t="s">
        <v>56</v>
      </c>
      <c r="C1997">
        <v>8989697390</v>
      </c>
      <c r="D1997" s="2">
        <v>1</v>
      </c>
      <c r="E1997" t="str">
        <f>"4574674200746840"</f>
        <v>4574674200746840</v>
      </c>
      <c r="F1997" t="str">
        <f>"197"</f>
        <v>197</v>
      </c>
      <c r="G1997">
        <v>1</v>
      </c>
      <c r="H1997">
        <v>2023</v>
      </c>
      <c r="I1997" t="s">
        <v>2112</v>
      </c>
    </row>
    <row r="1998" spans="1:9" x14ac:dyDescent="0.3">
      <c r="A1998" t="s">
        <v>10133</v>
      </c>
      <c r="B1998" t="s">
        <v>56</v>
      </c>
      <c r="C1998">
        <v>8989697390</v>
      </c>
      <c r="D1998" s="2">
        <v>1</v>
      </c>
      <c r="E1998" t="str">
        <f>"4574674200746816"</f>
        <v>4574674200746816</v>
      </c>
      <c r="F1998" t="str">
        <f>"389"</f>
        <v>389</v>
      </c>
      <c r="G1998">
        <v>1</v>
      </c>
      <c r="H1998">
        <v>2023</v>
      </c>
      <c r="I1998" t="s">
        <v>2113</v>
      </c>
    </row>
    <row r="1999" spans="1:9" x14ac:dyDescent="0.3">
      <c r="A1999" t="s">
        <v>10133</v>
      </c>
      <c r="B1999" t="s">
        <v>56</v>
      </c>
      <c r="C1999">
        <v>8989697390</v>
      </c>
      <c r="D1999" s="2">
        <v>1</v>
      </c>
      <c r="E1999" t="str">
        <f>"4574674200747004"</f>
        <v>4574674200747004</v>
      </c>
      <c r="F1999" t="str">
        <f>"969"</f>
        <v>969</v>
      </c>
      <c r="G1999">
        <v>1</v>
      </c>
      <c r="H1999">
        <v>2023</v>
      </c>
      <c r="I1999" t="s">
        <v>2114</v>
      </c>
    </row>
    <row r="2000" spans="1:9" x14ac:dyDescent="0.3">
      <c r="A2000" t="s">
        <v>10133</v>
      </c>
      <c r="B2000" t="s">
        <v>56</v>
      </c>
      <c r="C2000">
        <v>8989697390</v>
      </c>
      <c r="D2000" s="2">
        <v>1</v>
      </c>
      <c r="E2000" t="str">
        <f>"4574674200746782"</f>
        <v>4574674200746782</v>
      </c>
      <c r="F2000" t="str">
        <f>"903"</f>
        <v>903</v>
      </c>
      <c r="G2000">
        <v>1</v>
      </c>
      <c r="H2000">
        <v>2023</v>
      </c>
      <c r="I2000" t="s">
        <v>2115</v>
      </c>
    </row>
    <row r="2001" spans="1:9" x14ac:dyDescent="0.3">
      <c r="A2001" t="s">
        <v>10163</v>
      </c>
      <c r="B2001" t="s">
        <v>57</v>
      </c>
      <c r="C2001">
        <v>8989697390</v>
      </c>
      <c r="D2001" s="2">
        <v>1</v>
      </c>
      <c r="E2001" t="str">
        <f>"4574674200746881"</f>
        <v>4574674200746881</v>
      </c>
      <c r="F2001" t="str">
        <f>"823"</f>
        <v>823</v>
      </c>
      <c r="G2001">
        <v>1</v>
      </c>
      <c r="H2001">
        <v>2023</v>
      </c>
      <c r="I2001" t="s">
        <v>2116</v>
      </c>
    </row>
    <row r="2002" spans="1:9" x14ac:dyDescent="0.3">
      <c r="A2002" t="s">
        <v>10163</v>
      </c>
      <c r="B2002" t="s">
        <v>57</v>
      </c>
      <c r="C2002">
        <v>8989697390</v>
      </c>
      <c r="D2002" s="2">
        <v>1</v>
      </c>
      <c r="E2002" t="str">
        <f>"4574674200746949"</f>
        <v>4574674200746949</v>
      </c>
      <c r="F2002" t="str">
        <f>"857"</f>
        <v>857</v>
      </c>
      <c r="G2002">
        <v>1</v>
      </c>
      <c r="H2002">
        <v>2023</v>
      </c>
      <c r="I2002" t="s">
        <v>2117</v>
      </c>
    </row>
    <row r="2003" spans="1:9" x14ac:dyDescent="0.3">
      <c r="A2003" t="s">
        <v>10163</v>
      </c>
      <c r="B2003" t="s">
        <v>57</v>
      </c>
      <c r="C2003">
        <v>8989697390</v>
      </c>
      <c r="D2003" s="2">
        <v>1</v>
      </c>
      <c r="E2003" t="str">
        <f>"4574674200746915"</f>
        <v>4574674200746915</v>
      </c>
      <c r="F2003" t="str">
        <f>"357"</f>
        <v>357</v>
      </c>
      <c r="G2003">
        <v>1</v>
      </c>
      <c r="H2003">
        <v>2023</v>
      </c>
      <c r="I2003" t="s">
        <v>2118</v>
      </c>
    </row>
    <row r="2004" spans="1:9" x14ac:dyDescent="0.3">
      <c r="A2004" t="s">
        <v>10163</v>
      </c>
      <c r="B2004" t="s">
        <v>57</v>
      </c>
      <c r="C2004">
        <v>8989697390</v>
      </c>
      <c r="D2004" s="2">
        <v>1</v>
      </c>
      <c r="E2004" t="str">
        <f>"4574674200746899"</f>
        <v>4574674200746899</v>
      </c>
      <c r="F2004" t="str">
        <f>"244"</f>
        <v>244</v>
      </c>
      <c r="G2004">
        <v>1</v>
      </c>
      <c r="H2004">
        <v>2023</v>
      </c>
      <c r="I2004" t="s">
        <v>2119</v>
      </c>
    </row>
    <row r="2005" spans="1:9" x14ac:dyDescent="0.3">
      <c r="A2005" t="s">
        <v>10163</v>
      </c>
      <c r="B2005" t="s">
        <v>57</v>
      </c>
      <c r="C2005">
        <v>8989697390</v>
      </c>
      <c r="D2005" s="2">
        <v>1</v>
      </c>
      <c r="E2005" t="str">
        <f>"4574674200746923"</f>
        <v>4574674200746923</v>
      </c>
      <c r="F2005" t="str">
        <f>"328"</f>
        <v>328</v>
      </c>
      <c r="G2005">
        <v>1</v>
      </c>
      <c r="H2005">
        <v>2023</v>
      </c>
      <c r="I2005" t="s">
        <v>2120</v>
      </c>
    </row>
    <row r="2006" spans="1:9" x14ac:dyDescent="0.3">
      <c r="A2006" t="s">
        <v>10163</v>
      </c>
      <c r="B2006" t="s">
        <v>57</v>
      </c>
      <c r="C2006">
        <v>8989697390</v>
      </c>
      <c r="D2006" s="2">
        <v>1</v>
      </c>
      <c r="E2006" t="str">
        <f>"4574674200747103"</f>
        <v>4574674200747103</v>
      </c>
      <c r="F2006" t="str">
        <f>"283"</f>
        <v>283</v>
      </c>
      <c r="G2006">
        <v>1</v>
      </c>
      <c r="H2006">
        <v>2023</v>
      </c>
      <c r="I2006" t="s">
        <v>2121</v>
      </c>
    </row>
    <row r="2007" spans="1:9" x14ac:dyDescent="0.3">
      <c r="A2007" t="s">
        <v>10163</v>
      </c>
      <c r="B2007" t="s">
        <v>57</v>
      </c>
      <c r="C2007">
        <v>8989697390</v>
      </c>
      <c r="D2007" s="2">
        <v>1</v>
      </c>
      <c r="E2007" t="str">
        <f>"4574674200747178"</f>
        <v>4574674200747178</v>
      </c>
      <c r="F2007" t="str">
        <f>"272"</f>
        <v>272</v>
      </c>
      <c r="G2007">
        <v>1</v>
      </c>
      <c r="H2007">
        <v>2023</v>
      </c>
      <c r="I2007" t="s">
        <v>2122</v>
      </c>
    </row>
    <row r="2008" spans="1:9" x14ac:dyDescent="0.3">
      <c r="A2008" t="s">
        <v>10163</v>
      </c>
      <c r="B2008" t="s">
        <v>57</v>
      </c>
      <c r="C2008">
        <v>8989697390</v>
      </c>
      <c r="D2008" s="2">
        <v>1</v>
      </c>
      <c r="E2008" t="str">
        <f>"4574674200747400"</f>
        <v>4574674200747400</v>
      </c>
      <c r="F2008" t="str">
        <f>"393"</f>
        <v>393</v>
      </c>
      <c r="G2008">
        <v>1</v>
      </c>
      <c r="H2008">
        <v>2023</v>
      </c>
      <c r="I2008" t="s">
        <v>2123</v>
      </c>
    </row>
    <row r="2009" spans="1:9" x14ac:dyDescent="0.3">
      <c r="A2009" t="s">
        <v>10163</v>
      </c>
      <c r="B2009" t="s">
        <v>57</v>
      </c>
      <c r="C2009">
        <v>8989697390</v>
      </c>
      <c r="D2009" s="2">
        <v>1</v>
      </c>
      <c r="E2009" t="str">
        <f>"4574674200746980"</f>
        <v>4574674200746980</v>
      </c>
      <c r="F2009" t="str">
        <f>"416"</f>
        <v>416</v>
      </c>
      <c r="G2009">
        <v>1</v>
      </c>
      <c r="H2009">
        <v>2023</v>
      </c>
      <c r="I2009" t="s">
        <v>2124</v>
      </c>
    </row>
    <row r="2010" spans="1:9" x14ac:dyDescent="0.3">
      <c r="A2010" t="s">
        <v>10163</v>
      </c>
      <c r="B2010" t="s">
        <v>57</v>
      </c>
      <c r="C2010">
        <v>8989697390</v>
      </c>
      <c r="D2010" s="2">
        <v>1</v>
      </c>
      <c r="E2010" t="str">
        <f>"4574674200747426"</f>
        <v>4574674200747426</v>
      </c>
      <c r="F2010" t="str">
        <f>"439"</f>
        <v>439</v>
      </c>
      <c r="G2010">
        <v>1</v>
      </c>
      <c r="H2010">
        <v>2023</v>
      </c>
      <c r="I2010" t="s">
        <v>2125</v>
      </c>
    </row>
    <row r="2011" spans="1:9" x14ac:dyDescent="0.3">
      <c r="A2011" t="s">
        <v>10164</v>
      </c>
      <c r="B2011" t="s">
        <v>58</v>
      </c>
      <c r="C2011">
        <v>8989697390</v>
      </c>
      <c r="D2011" s="2">
        <v>1</v>
      </c>
      <c r="E2011" t="str">
        <f>"4574674200747459"</f>
        <v>4574674200747459</v>
      </c>
      <c r="F2011" t="str">
        <f>"500"</f>
        <v>500</v>
      </c>
      <c r="G2011">
        <v>1</v>
      </c>
      <c r="H2011">
        <v>2023</v>
      </c>
      <c r="I2011" t="s">
        <v>2126</v>
      </c>
    </row>
    <row r="2012" spans="1:9" x14ac:dyDescent="0.3">
      <c r="A2012" t="s">
        <v>10164</v>
      </c>
      <c r="B2012" t="s">
        <v>58</v>
      </c>
      <c r="C2012">
        <v>8989697390</v>
      </c>
      <c r="D2012" s="2">
        <v>1</v>
      </c>
      <c r="E2012" t="str">
        <f>"4574674200747475"</f>
        <v>4574674200747475</v>
      </c>
      <c r="F2012" t="str">
        <f>"017"</f>
        <v>017</v>
      </c>
      <c r="G2012">
        <v>1</v>
      </c>
      <c r="H2012">
        <v>2023</v>
      </c>
      <c r="I2012" t="s">
        <v>2127</v>
      </c>
    </row>
    <row r="2013" spans="1:9" x14ac:dyDescent="0.3">
      <c r="A2013" t="s">
        <v>10164</v>
      </c>
      <c r="B2013" t="s">
        <v>58</v>
      </c>
      <c r="C2013">
        <v>8989697390</v>
      </c>
      <c r="D2013" s="2">
        <v>1</v>
      </c>
      <c r="E2013" t="str">
        <f>"4574674200747327"</f>
        <v>4574674200747327</v>
      </c>
      <c r="F2013" t="str">
        <f>"705"</f>
        <v>705</v>
      </c>
      <c r="G2013">
        <v>1</v>
      </c>
      <c r="H2013">
        <v>2023</v>
      </c>
      <c r="I2013" t="s">
        <v>2128</v>
      </c>
    </row>
    <row r="2014" spans="1:9" x14ac:dyDescent="0.3">
      <c r="A2014" t="s">
        <v>10164</v>
      </c>
      <c r="B2014" t="s">
        <v>58</v>
      </c>
      <c r="C2014">
        <v>8989697390</v>
      </c>
      <c r="D2014" s="2">
        <v>1</v>
      </c>
      <c r="E2014" t="str">
        <f>"4574674200747525"</f>
        <v>4574674200747525</v>
      </c>
      <c r="F2014" t="str">
        <f>"376"</f>
        <v>376</v>
      </c>
      <c r="G2014">
        <v>1</v>
      </c>
      <c r="H2014">
        <v>2023</v>
      </c>
      <c r="I2014" t="s">
        <v>2129</v>
      </c>
    </row>
    <row r="2015" spans="1:9" x14ac:dyDescent="0.3">
      <c r="A2015" t="s">
        <v>10164</v>
      </c>
      <c r="B2015" t="s">
        <v>58</v>
      </c>
      <c r="C2015">
        <v>8989697390</v>
      </c>
      <c r="D2015" s="2">
        <v>1</v>
      </c>
      <c r="E2015" t="str">
        <f>"4574674200747533"</f>
        <v>4574674200747533</v>
      </c>
      <c r="F2015" t="str">
        <f>"594"</f>
        <v>594</v>
      </c>
      <c r="G2015">
        <v>1</v>
      </c>
      <c r="H2015">
        <v>2023</v>
      </c>
      <c r="I2015" t="s">
        <v>2130</v>
      </c>
    </row>
    <row r="2016" spans="1:9" x14ac:dyDescent="0.3">
      <c r="A2016" t="s">
        <v>10164</v>
      </c>
      <c r="B2016" t="s">
        <v>58</v>
      </c>
      <c r="C2016">
        <v>8989697390</v>
      </c>
      <c r="D2016" s="2">
        <v>1</v>
      </c>
      <c r="E2016" t="str">
        <f>"4574674200747558"</f>
        <v>4574674200747558</v>
      </c>
      <c r="F2016" t="str">
        <f>"878"</f>
        <v>878</v>
      </c>
      <c r="G2016">
        <v>1</v>
      </c>
      <c r="H2016">
        <v>2023</v>
      </c>
      <c r="I2016" t="s">
        <v>2131</v>
      </c>
    </row>
    <row r="2017" spans="1:9" x14ac:dyDescent="0.3">
      <c r="A2017" t="s">
        <v>10164</v>
      </c>
      <c r="B2017" t="s">
        <v>58</v>
      </c>
      <c r="C2017">
        <v>8989697390</v>
      </c>
      <c r="D2017" s="2">
        <v>1</v>
      </c>
      <c r="E2017" t="str">
        <f>"4574674200747566"</f>
        <v>4574674200747566</v>
      </c>
      <c r="F2017" t="str">
        <f>"779"</f>
        <v>779</v>
      </c>
      <c r="G2017">
        <v>1</v>
      </c>
      <c r="H2017">
        <v>2023</v>
      </c>
      <c r="I2017" t="s">
        <v>2132</v>
      </c>
    </row>
    <row r="2018" spans="1:9" x14ac:dyDescent="0.3">
      <c r="A2018" t="s">
        <v>10164</v>
      </c>
      <c r="B2018" t="s">
        <v>58</v>
      </c>
      <c r="C2018">
        <v>8989697390</v>
      </c>
      <c r="D2018" s="2">
        <v>1</v>
      </c>
      <c r="E2018" t="str">
        <f>"4574674200747590"</f>
        <v>4574674200747590</v>
      </c>
      <c r="F2018" t="str">
        <f>"679"</f>
        <v>679</v>
      </c>
      <c r="G2018">
        <v>1</v>
      </c>
      <c r="H2018">
        <v>2023</v>
      </c>
      <c r="I2018" t="s">
        <v>2133</v>
      </c>
    </row>
    <row r="2019" spans="1:9" x14ac:dyDescent="0.3">
      <c r="A2019" t="s">
        <v>10164</v>
      </c>
      <c r="B2019" t="s">
        <v>58</v>
      </c>
      <c r="C2019">
        <v>8989697390</v>
      </c>
      <c r="D2019" s="2">
        <v>1</v>
      </c>
      <c r="E2019" t="str">
        <f>"4574674200747913"</f>
        <v>4574674200747913</v>
      </c>
      <c r="F2019" t="str">
        <f>"756"</f>
        <v>756</v>
      </c>
      <c r="G2019">
        <v>1</v>
      </c>
      <c r="H2019">
        <v>2023</v>
      </c>
      <c r="I2019" t="s">
        <v>2134</v>
      </c>
    </row>
    <row r="2020" spans="1:9" x14ac:dyDescent="0.3">
      <c r="A2020" t="s">
        <v>10164</v>
      </c>
      <c r="B2020" t="s">
        <v>58</v>
      </c>
      <c r="C2020">
        <v>8989697390</v>
      </c>
      <c r="D2020" s="2">
        <v>1</v>
      </c>
      <c r="E2020" t="str">
        <f>"4574674200747954"</f>
        <v>4574674200747954</v>
      </c>
      <c r="F2020" t="str">
        <f>"725"</f>
        <v>725</v>
      </c>
      <c r="G2020">
        <v>1</v>
      </c>
      <c r="H2020">
        <v>2023</v>
      </c>
      <c r="I2020" t="s">
        <v>2135</v>
      </c>
    </row>
    <row r="2021" spans="1:9" x14ac:dyDescent="0.3">
      <c r="A2021" t="s">
        <v>10165</v>
      </c>
      <c r="B2021" t="s">
        <v>59</v>
      </c>
      <c r="C2021">
        <v>8989697390</v>
      </c>
      <c r="D2021" s="2">
        <v>1</v>
      </c>
      <c r="E2021" t="str">
        <f>"4574674200747624"</f>
        <v>4574674200747624</v>
      </c>
      <c r="F2021" t="str">
        <f>"897"</f>
        <v>897</v>
      </c>
      <c r="G2021">
        <v>1</v>
      </c>
      <c r="H2021">
        <v>2023</v>
      </c>
      <c r="I2021" t="s">
        <v>2136</v>
      </c>
    </row>
    <row r="2022" spans="1:9" x14ac:dyDescent="0.3">
      <c r="A2022" t="s">
        <v>10165</v>
      </c>
      <c r="B2022" t="s">
        <v>59</v>
      </c>
      <c r="C2022">
        <v>8989697390</v>
      </c>
      <c r="D2022" s="2">
        <v>1</v>
      </c>
      <c r="E2022" t="str">
        <f>"4574674200747681"</f>
        <v>4574674200747681</v>
      </c>
      <c r="F2022" t="str">
        <f>"429"</f>
        <v>429</v>
      </c>
      <c r="G2022">
        <v>1</v>
      </c>
      <c r="H2022">
        <v>2023</v>
      </c>
      <c r="I2022" t="s">
        <v>2137</v>
      </c>
    </row>
    <row r="2023" spans="1:9" x14ac:dyDescent="0.3">
      <c r="A2023" t="s">
        <v>10165</v>
      </c>
      <c r="B2023" t="s">
        <v>59</v>
      </c>
      <c r="C2023">
        <v>8989697390</v>
      </c>
      <c r="D2023" s="2">
        <v>1</v>
      </c>
      <c r="E2023" t="str">
        <f>"4574674200747657"</f>
        <v>4574674200747657</v>
      </c>
      <c r="F2023" t="str">
        <f>"692"</f>
        <v>692</v>
      </c>
      <c r="G2023">
        <v>1</v>
      </c>
      <c r="H2023">
        <v>2023</v>
      </c>
      <c r="I2023" t="s">
        <v>2138</v>
      </c>
    </row>
    <row r="2024" spans="1:9" x14ac:dyDescent="0.3">
      <c r="A2024" t="s">
        <v>10165</v>
      </c>
      <c r="B2024" t="s">
        <v>59</v>
      </c>
      <c r="C2024">
        <v>8989697390</v>
      </c>
      <c r="D2024" s="2">
        <v>1</v>
      </c>
      <c r="E2024" t="str">
        <f>"4574674200747707"</f>
        <v>4574674200747707</v>
      </c>
      <c r="F2024" t="str">
        <f>"900"</f>
        <v>900</v>
      </c>
      <c r="G2024">
        <v>1</v>
      </c>
      <c r="H2024">
        <v>2023</v>
      </c>
      <c r="I2024" t="s">
        <v>2139</v>
      </c>
    </row>
    <row r="2025" spans="1:9" x14ac:dyDescent="0.3">
      <c r="A2025" t="s">
        <v>10165</v>
      </c>
      <c r="B2025" t="s">
        <v>59</v>
      </c>
      <c r="C2025">
        <v>8989697390</v>
      </c>
      <c r="D2025" s="2">
        <v>1</v>
      </c>
      <c r="E2025" t="str">
        <f>"4574674200747715"</f>
        <v>4574674200747715</v>
      </c>
      <c r="F2025" t="str">
        <f>"663"</f>
        <v>663</v>
      </c>
      <c r="G2025">
        <v>1</v>
      </c>
      <c r="H2025">
        <v>2023</v>
      </c>
      <c r="I2025" t="s">
        <v>2140</v>
      </c>
    </row>
    <row r="2026" spans="1:9" x14ac:dyDescent="0.3">
      <c r="A2026" t="s">
        <v>10165</v>
      </c>
      <c r="B2026" t="s">
        <v>59</v>
      </c>
      <c r="C2026">
        <v>8989697390</v>
      </c>
      <c r="D2026" s="2">
        <v>1</v>
      </c>
      <c r="E2026" t="str">
        <f>"4574674200748077"</f>
        <v>4574674200748077</v>
      </c>
      <c r="F2026" t="str">
        <f>"819"</f>
        <v>819</v>
      </c>
      <c r="G2026">
        <v>1</v>
      </c>
      <c r="H2026">
        <v>2023</v>
      </c>
      <c r="I2026" t="s">
        <v>2141</v>
      </c>
    </row>
    <row r="2027" spans="1:9" x14ac:dyDescent="0.3">
      <c r="A2027" t="s">
        <v>10165</v>
      </c>
      <c r="B2027" t="s">
        <v>59</v>
      </c>
      <c r="C2027">
        <v>8989697390</v>
      </c>
      <c r="D2027" s="2">
        <v>1</v>
      </c>
      <c r="E2027" t="str">
        <f>"4574674200748101"</f>
        <v>4574674200748101</v>
      </c>
      <c r="F2027" t="str">
        <f>"061"</f>
        <v>061</v>
      </c>
      <c r="G2027">
        <v>1</v>
      </c>
      <c r="H2027">
        <v>2023</v>
      </c>
      <c r="I2027" t="s">
        <v>2142</v>
      </c>
    </row>
    <row r="2028" spans="1:9" x14ac:dyDescent="0.3">
      <c r="A2028" t="s">
        <v>10165</v>
      </c>
      <c r="B2028" t="s">
        <v>59</v>
      </c>
      <c r="C2028">
        <v>8989697390</v>
      </c>
      <c r="D2028" s="2">
        <v>1</v>
      </c>
      <c r="E2028" t="str">
        <f>"4574674200747749"</f>
        <v>4574674200747749</v>
      </c>
      <c r="F2028" t="str">
        <f>"383"</f>
        <v>383</v>
      </c>
      <c r="G2028">
        <v>1</v>
      </c>
      <c r="H2028">
        <v>2023</v>
      </c>
      <c r="I2028" t="s">
        <v>2143</v>
      </c>
    </row>
    <row r="2029" spans="1:9" x14ac:dyDescent="0.3">
      <c r="A2029" t="s">
        <v>10165</v>
      </c>
      <c r="B2029" t="s">
        <v>59</v>
      </c>
      <c r="C2029">
        <v>8989697390</v>
      </c>
      <c r="D2029" s="2">
        <v>1</v>
      </c>
      <c r="E2029" t="str">
        <f>"4574674200747764"</f>
        <v>4574674200747764</v>
      </c>
      <c r="F2029" t="str">
        <f>"767"</f>
        <v>767</v>
      </c>
      <c r="G2029">
        <v>1</v>
      </c>
      <c r="H2029">
        <v>2023</v>
      </c>
      <c r="I2029" t="s">
        <v>2144</v>
      </c>
    </row>
    <row r="2030" spans="1:9" x14ac:dyDescent="0.3">
      <c r="A2030" t="s">
        <v>10165</v>
      </c>
      <c r="B2030" t="s">
        <v>59</v>
      </c>
      <c r="C2030">
        <v>8989697390</v>
      </c>
      <c r="D2030" s="2">
        <v>1</v>
      </c>
      <c r="E2030" t="str">
        <f>"4574674200747772"</f>
        <v>4574674200747772</v>
      </c>
      <c r="F2030" t="str">
        <f>"454"</f>
        <v>454</v>
      </c>
      <c r="G2030">
        <v>1</v>
      </c>
      <c r="H2030">
        <v>2023</v>
      </c>
      <c r="I2030" t="s">
        <v>2145</v>
      </c>
    </row>
    <row r="2031" spans="1:9" x14ac:dyDescent="0.3">
      <c r="A2031" t="s">
        <v>10166</v>
      </c>
      <c r="B2031" t="s">
        <v>60</v>
      </c>
      <c r="C2031">
        <v>8989697390</v>
      </c>
      <c r="D2031" s="2">
        <v>1</v>
      </c>
      <c r="E2031" t="str">
        <f>"4574674200748200"</f>
        <v>4574674200748200</v>
      </c>
      <c r="F2031" t="str">
        <f>"113"</f>
        <v>113</v>
      </c>
      <c r="G2031">
        <v>1</v>
      </c>
      <c r="H2031">
        <v>2023</v>
      </c>
      <c r="I2031" t="s">
        <v>2146</v>
      </c>
    </row>
    <row r="2032" spans="1:9" x14ac:dyDescent="0.3">
      <c r="A2032" t="s">
        <v>10166</v>
      </c>
      <c r="B2032" t="s">
        <v>60</v>
      </c>
      <c r="C2032">
        <v>8989697390</v>
      </c>
      <c r="D2032" s="2">
        <v>1</v>
      </c>
      <c r="E2032" t="str">
        <f>"4574674200747798"</f>
        <v>4574674200747798</v>
      </c>
      <c r="F2032" t="str">
        <f>"582"</f>
        <v>582</v>
      </c>
      <c r="G2032">
        <v>1</v>
      </c>
      <c r="H2032">
        <v>2023</v>
      </c>
      <c r="I2032" t="s">
        <v>2147</v>
      </c>
    </row>
    <row r="2033" spans="1:9" x14ac:dyDescent="0.3">
      <c r="A2033" t="s">
        <v>10166</v>
      </c>
      <c r="B2033" t="s">
        <v>60</v>
      </c>
      <c r="C2033">
        <v>8989697390</v>
      </c>
      <c r="D2033" s="2">
        <v>1</v>
      </c>
      <c r="E2033" t="str">
        <f>"4574674200748150"</f>
        <v>4574674200748150</v>
      </c>
      <c r="F2033" t="str">
        <f>"928"</f>
        <v>928</v>
      </c>
      <c r="G2033">
        <v>1</v>
      </c>
      <c r="H2033">
        <v>2023</v>
      </c>
      <c r="I2033" t="s">
        <v>2148</v>
      </c>
    </row>
    <row r="2034" spans="1:9" x14ac:dyDescent="0.3">
      <c r="A2034" t="s">
        <v>10166</v>
      </c>
      <c r="B2034" t="s">
        <v>60</v>
      </c>
      <c r="C2034">
        <v>8989697390</v>
      </c>
      <c r="D2034" s="2">
        <v>1</v>
      </c>
      <c r="E2034" t="str">
        <f>"4574674200748416"</f>
        <v>4574674200748416</v>
      </c>
      <c r="F2034" t="str">
        <f>"643"</f>
        <v>643</v>
      </c>
      <c r="G2034">
        <v>1</v>
      </c>
      <c r="H2034">
        <v>2023</v>
      </c>
      <c r="I2034" t="s">
        <v>2149</v>
      </c>
    </row>
    <row r="2035" spans="1:9" x14ac:dyDescent="0.3">
      <c r="A2035" t="s">
        <v>10166</v>
      </c>
      <c r="B2035" t="s">
        <v>60</v>
      </c>
      <c r="C2035">
        <v>8989697390</v>
      </c>
      <c r="D2035" s="2">
        <v>1</v>
      </c>
      <c r="E2035" t="str">
        <f>"4574674200748267"</f>
        <v>4574674200748267</v>
      </c>
      <c r="F2035" t="str">
        <f>"889"</f>
        <v>889</v>
      </c>
      <c r="G2035">
        <v>1</v>
      </c>
      <c r="H2035">
        <v>2023</v>
      </c>
      <c r="I2035" t="s">
        <v>2150</v>
      </c>
    </row>
    <row r="2036" spans="1:9" x14ac:dyDescent="0.3">
      <c r="A2036" t="s">
        <v>10166</v>
      </c>
      <c r="B2036" t="s">
        <v>60</v>
      </c>
      <c r="C2036">
        <v>8989697390</v>
      </c>
      <c r="D2036" s="2">
        <v>1</v>
      </c>
      <c r="E2036" t="str">
        <f>"4574674200748325"</f>
        <v>4574674200748325</v>
      </c>
      <c r="F2036" t="str">
        <f>"261"</f>
        <v>261</v>
      </c>
      <c r="G2036">
        <v>1</v>
      </c>
      <c r="H2036">
        <v>2023</v>
      </c>
      <c r="I2036" t="s">
        <v>2151</v>
      </c>
    </row>
    <row r="2037" spans="1:9" x14ac:dyDescent="0.3">
      <c r="A2037" t="s">
        <v>10166</v>
      </c>
      <c r="B2037" t="s">
        <v>60</v>
      </c>
      <c r="C2037">
        <v>8989697390</v>
      </c>
      <c r="D2037" s="2">
        <v>1</v>
      </c>
      <c r="E2037" t="str">
        <f>"4574674200748309"</f>
        <v>4574674200748309</v>
      </c>
      <c r="F2037" t="str">
        <f>"329"</f>
        <v>329</v>
      </c>
      <c r="G2037">
        <v>1</v>
      </c>
      <c r="H2037">
        <v>2023</v>
      </c>
      <c r="I2037" t="s">
        <v>2152</v>
      </c>
    </row>
    <row r="2038" spans="1:9" x14ac:dyDescent="0.3">
      <c r="A2038" t="s">
        <v>10166</v>
      </c>
      <c r="B2038" t="s">
        <v>60</v>
      </c>
      <c r="C2038">
        <v>8989697390</v>
      </c>
      <c r="D2038" s="2">
        <v>1</v>
      </c>
      <c r="E2038" t="str">
        <f>"4574674200748341"</f>
        <v>4574674200748341</v>
      </c>
      <c r="F2038" t="str">
        <f>"469"</f>
        <v>469</v>
      </c>
      <c r="G2038">
        <v>1</v>
      </c>
      <c r="H2038">
        <v>2023</v>
      </c>
      <c r="I2038" t="s">
        <v>2153</v>
      </c>
    </row>
    <row r="2039" spans="1:9" x14ac:dyDescent="0.3">
      <c r="A2039" t="s">
        <v>10166</v>
      </c>
      <c r="B2039" t="s">
        <v>60</v>
      </c>
      <c r="C2039">
        <v>8989697390</v>
      </c>
      <c r="D2039" s="2">
        <v>1</v>
      </c>
      <c r="E2039" t="str">
        <f>"4574674200748317"</f>
        <v>4574674200748317</v>
      </c>
      <c r="F2039" t="str">
        <f>"542"</f>
        <v>542</v>
      </c>
      <c r="G2039">
        <v>1</v>
      </c>
      <c r="H2039">
        <v>2023</v>
      </c>
      <c r="I2039" t="s">
        <v>2154</v>
      </c>
    </row>
    <row r="2040" spans="1:9" x14ac:dyDescent="0.3">
      <c r="A2040" t="s">
        <v>10166</v>
      </c>
      <c r="B2040" t="s">
        <v>60</v>
      </c>
      <c r="C2040">
        <v>8989697390</v>
      </c>
      <c r="D2040" s="2">
        <v>1</v>
      </c>
      <c r="E2040" t="str">
        <f>"4574674200748507"</f>
        <v>4574674200748507</v>
      </c>
      <c r="F2040" t="str">
        <f>"422"</f>
        <v>422</v>
      </c>
      <c r="G2040">
        <v>1</v>
      </c>
      <c r="H2040">
        <v>2023</v>
      </c>
      <c r="I2040" t="s">
        <v>2155</v>
      </c>
    </row>
    <row r="2041" spans="1:9" x14ac:dyDescent="0.3">
      <c r="A2041" t="s">
        <v>10146</v>
      </c>
      <c r="B2041" t="s">
        <v>61</v>
      </c>
      <c r="C2041">
        <v>8989697390</v>
      </c>
      <c r="D2041" s="2">
        <v>1</v>
      </c>
      <c r="E2041" t="str">
        <f>"4574674200748531"</f>
        <v>4574674200748531</v>
      </c>
      <c r="F2041" t="str">
        <f>"708"</f>
        <v>708</v>
      </c>
      <c r="G2041">
        <v>1</v>
      </c>
      <c r="H2041">
        <v>2023</v>
      </c>
      <c r="I2041" t="s">
        <v>2156</v>
      </c>
    </row>
    <row r="2042" spans="1:9" x14ac:dyDescent="0.3">
      <c r="A2042" t="s">
        <v>10146</v>
      </c>
      <c r="B2042" t="s">
        <v>61</v>
      </c>
      <c r="C2042">
        <v>8989697390</v>
      </c>
      <c r="D2042" s="2">
        <v>1</v>
      </c>
      <c r="E2042" t="str">
        <f>"4574674200748838"</f>
        <v>4574674200748838</v>
      </c>
      <c r="F2042" t="str">
        <f>"907"</f>
        <v>907</v>
      </c>
      <c r="G2042">
        <v>1</v>
      </c>
      <c r="H2042">
        <v>2023</v>
      </c>
      <c r="I2042" t="s">
        <v>2157</v>
      </c>
    </row>
    <row r="2043" spans="1:9" x14ac:dyDescent="0.3">
      <c r="A2043" t="s">
        <v>10146</v>
      </c>
      <c r="B2043" t="s">
        <v>61</v>
      </c>
      <c r="C2043">
        <v>8989697390</v>
      </c>
      <c r="D2043" s="2">
        <v>1</v>
      </c>
      <c r="E2043" t="str">
        <f>"4574674200748804"</f>
        <v>4574674200748804</v>
      </c>
      <c r="F2043" t="str">
        <f>"289"</f>
        <v>289</v>
      </c>
      <c r="G2043">
        <v>1</v>
      </c>
      <c r="H2043">
        <v>2023</v>
      </c>
      <c r="I2043" t="s">
        <v>2158</v>
      </c>
    </row>
    <row r="2044" spans="1:9" x14ac:dyDescent="0.3">
      <c r="A2044" t="s">
        <v>10146</v>
      </c>
      <c r="B2044" t="s">
        <v>61</v>
      </c>
      <c r="C2044">
        <v>8989697390</v>
      </c>
      <c r="D2044" s="2">
        <v>1</v>
      </c>
      <c r="E2044" t="str">
        <f>"4574674200748846"</f>
        <v>4574674200748846</v>
      </c>
      <c r="F2044" t="str">
        <f>"828"</f>
        <v>828</v>
      </c>
      <c r="G2044">
        <v>1</v>
      </c>
      <c r="H2044">
        <v>2023</v>
      </c>
      <c r="I2044" t="s">
        <v>2159</v>
      </c>
    </row>
    <row r="2045" spans="1:9" x14ac:dyDescent="0.3">
      <c r="A2045" t="s">
        <v>10146</v>
      </c>
      <c r="B2045" t="s">
        <v>61</v>
      </c>
      <c r="C2045">
        <v>8989697390</v>
      </c>
      <c r="D2045" s="2">
        <v>1</v>
      </c>
      <c r="E2045" t="str">
        <f>"4574674200748861"</f>
        <v>4574674200748861</v>
      </c>
      <c r="F2045" t="str">
        <f>"954"</f>
        <v>954</v>
      </c>
      <c r="G2045">
        <v>1</v>
      </c>
      <c r="H2045">
        <v>2023</v>
      </c>
      <c r="I2045" t="s">
        <v>2160</v>
      </c>
    </row>
    <row r="2046" spans="1:9" x14ac:dyDescent="0.3">
      <c r="A2046" t="s">
        <v>10146</v>
      </c>
      <c r="B2046" t="s">
        <v>61</v>
      </c>
      <c r="C2046">
        <v>8989697390</v>
      </c>
      <c r="D2046" s="2">
        <v>1</v>
      </c>
      <c r="E2046" t="str">
        <f>"4574674200748887"</f>
        <v>4574674200748887</v>
      </c>
      <c r="F2046" t="str">
        <f>"552"</f>
        <v>552</v>
      </c>
      <c r="G2046">
        <v>1</v>
      </c>
      <c r="H2046">
        <v>2023</v>
      </c>
      <c r="I2046" t="s">
        <v>2161</v>
      </c>
    </row>
    <row r="2047" spans="1:9" x14ac:dyDescent="0.3">
      <c r="A2047" t="s">
        <v>10146</v>
      </c>
      <c r="B2047" t="s">
        <v>61</v>
      </c>
      <c r="C2047">
        <v>8989697390</v>
      </c>
      <c r="D2047" s="2">
        <v>1</v>
      </c>
      <c r="E2047" t="str">
        <f>"4574674200748705"</f>
        <v>4574674200748705</v>
      </c>
      <c r="F2047" t="str">
        <f>"721"</f>
        <v>721</v>
      </c>
      <c r="G2047">
        <v>1</v>
      </c>
      <c r="H2047">
        <v>2023</v>
      </c>
      <c r="I2047" t="s">
        <v>2162</v>
      </c>
    </row>
    <row r="2048" spans="1:9" x14ac:dyDescent="0.3">
      <c r="A2048" t="s">
        <v>10146</v>
      </c>
      <c r="B2048" t="s">
        <v>61</v>
      </c>
      <c r="C2048">
        <v>8989697390</v>
      </c>
      <c r="D2048" s="2">
        <v>1</v>
      </c>
      <c r="E2048" t="str">
        <f>"4574674200748952"</f>
        <v>4574674200748952</v>
      </c>
      <c r="F2048" t="str">
        <f>"652"</f>
        <v>652</v>
      </c>
      <c r="G2048">
        <v>1</v>
      </c>
      <c r="H2048">
        <v>2023</v>
      </c>
      <c r="I2048" t="s">
        <v>2163</v>
      </c>
    </row>
    <row r="2049" spans="1:9" x14ac:dyDescent="0.3">
      <c r="A2049" t="s">
        <v>10146</v>
      </c>
      <c r="B2049" t="s">
        <v>61</v>
      </c>
      <c r="C2049">
        <v>8989697390</v>
      </c>
      <c r="D2049" s="2">
        <v>1</v>
      </c>
      <c r="E2049" t="str">
        <f>"4574674200748978"</f>
        <v>4574674200748978</v>
      </c>
      <c r="F2049" t="str">
        <f>"751"</f>
        <v>751</v>
      </c>
      <c r="G2049">
        <v>1</v>
      </c>
      <c r="H2049">
        <v>2023</v>
      </c>
      <c r="I2049" t="s">
        <v>2164</v>
      </c>
    </row>
    <row r="2050" spans="1:9" x14ac:dyDescent="0.3">
      <c r="A2050" t="s">
        <v>10146</v>
      </c>
      <c r="B2050" t="s">
        <v>61</v>
      </c>
      <c r="C2050">
        <v>8989697390</v>
      </c>
      <c r="D2050" s="2">
        <v>1</v>
      </c>
      <c r="E2050" t="str">
        <f>"4574674200749034"</f>
        <v>4574674200749034</v>
      </c>
      <c r="F2050" t="str">
        <f>"331"</f>
        <v>331</v>
      </c>
      <c r="G2050">
        <v>1</v>
      </c>
      <c r="H2050">
        <v>2023</v>
      </c>
      <c r="I2050" t="s">
        <v>2165</v>
      </c>
    </row>
    <row r="2051" spans="1:9" x14ac:dyDescent="0.3">
      <c r="A2051" t="s">
        <v>10147</v>
      </c>
      <c r="B2051" t="s">
        <v>62</v>
      </c>
      <c r="C2051">
        <v>8989697390</v>
      </c>
      <c r="D2051" s="2">
        <v>1</v>
      </c>
      <c r="E2051" t="str">
        <f>"4574674200750586"</f>
        <v>4574674200750586</v>
      </c>
      <c r="F2051" t="str">
        <f>"111"</f>
        <v>111</v>
      </c>
      <c r="G2051">
        <v>1</v>
      </c>
      <c r="H2051">
        <v>2023</v>
      </c>
      <c r="I2051" t="s">
        <v>2166</v>
      </c>
    </row>
    <row r="2052" spans="1:9" x14ac:dyDescent="0.3">
      <c r="A2052" t="s">
        <v>10147</v>
      </c>
      <c r="B2052" t="s">
        <v>62</v>
      </c>
      <c r="C2052">
        <v>8989697390</v>
      </c>
      <c r="D2052" s="2">
        <v>1</v>
      </c>
      <c r="E2052" t="str">
        <f>"4574674200750651"</f>
        <v>4574674200750651</v>
      </c>
      <c r="F2052" t="str">
        <f>"008"</f>
        <v>008</v>
      </c>
      <c r="G2052">
        <v>1</v>
      </c>
      <c r="H2052">
        <v>2023</v>
      </c>
      <c r="I2052" t="s">
        <v>2167</v>
      </c>
    </row>
    <row r="2053" spans="1:9" x14ac:dyDescent="0.3">
      <c r="A2053" t="s">
        <v>10147</v>
      </c>
      <c r="B2053" t="s">
        <v>62</v>
      </c>
      <c r="C2053">
        <v>8989697390</v>
      </c>
      <c r="D2053" s="2">
        <v>1</v>
      </c>
      <c r="E2053" t="str">
        <f>"4574674200750735"</f>
        <v>4574674200750735</v>
      </c>
      <c r="F2053" t="str">
        <f>"216"</f>
        <v>216</v>
      </c>
      <c r="G2053">
        <v>1</v>
      </c>
      <c r="H2053">
        <v>2023</v>
      </c>
      <c r="I2053" t="s">
        <v>2168</v>
      </c>
    </row>
    <row r="2054" spans="1:9" x14ac:dyDescent="0.3">
      <c r="A2054" t="s">
        <v>10147</v>
      </c>
      <c r="B2054" t="s">
        <v>62</v>
      </c>
      <c r="C2054">
        <v>8989697390</v>
      </c>
      <c r="D2054" s="2">
        <v>1</v>
      </c>
      <c r="E2054" t="str">
        <f>"4574674200750701"</f>
        <v>4574674200750701</v>
      </c>
      <c r="F2054" t="str">
        <f>"285"</f>
        <v>285</v>
      </c>
      <c r="G2054">
        <v>1</v>
      </c>
      <c r="H2054">
        <v>2023</v>
      </c>
      <c r="I2054" t="s">
        <v>2169</v>
      </c>
    </row>
    <row r="2055" spans="1:9" x14ac:dyDescent="0.3">
      <c r="A2055" t="s">
        <v>10147</v>
      </c>
      <c r="B2055" t="s">
        <v>62</v>
      </c>
      <c r="C2055">
        <v>8989697390</v>
      </c>
      <c r="D2055" s="2">
        <v>1</v>
      </c>
      <c r="E2055" t="str">
        <f>"4574674200750909"</f>
        <v>4574674200750909</v>
      </c>
      <c r="F2055" t="str">
        <f>"269"</f>
        <v>269</v>
      </c>
      <c r="G2055">
        <v>1</v>
      </c>
      <c r="H2055">
        <v>2023</v>
      </c>
      <c r="I2055" t="s">
        <v>2170</v>
      </c>
    </row>
    <row r="2056" spans="1:9" x14ac:dyDescent="0.3">
      <c r="A2056" t="s">
        <v>10147</v>
      </c>
      <c r="B2056" t="s">
        <v>62</v>
      </c>
      <c r="C2056">
        <v>8989697390</v>
      </c>
      <c r="D2056" s="2">
        <v>1</v>
      </c>
      <c r="E2056" t="str">
        <f>"4574674200751022"</f>
        <v>4574674200751022</v>
      </c>
      <c r="F2056" t="str">
        <f>"684"</f>
        <v>684</v>
      </c>
      <c r="G2056">
        <v>1</v>
      </c>
      <c r="H2056">
        <v>2023</v>
      </c>
      <c r="I2056" t="s">
        <v>2171</v>
      </c>
    </row>
    <row r="2057" spans="1:9" x14ac:dyDescent="0.3">
      <c r="A2057" t="s">
        <v>10147</v>
      </c>
      <c r="B2057" t="s">
        <v>62</v>
      </c>
      <c r="C2057">
        <v>8989697390</v>
      </c>
      <c r="D2057" s="2">
        <v>1</v>
      </c>
      <c r="E2057" t="str">
        <f>"4574674200750958"</f>
        <v>4574674200750958</v>
      </c>
      <c r="F2057" t="str">
        <f>"906"</f>
        <v>906</v>
      </c>
      <c r="G2057">
        <v>1</v>
      </c>
      <c r="H2057">
        <v>2023</v>
      </c>
      <c r="I2057" t="s">
        <v>2172</v>
      </c>
    </row>
    <row r="2058" spans="1:9" x14ac:dyDescent="0.3">
      <c r="A2058" t="s">
        <v>10147</v>
      </c>
      <c r="B2058" t="s">
        <v>62</v>
      </c>
      <c r="C2058">
        <v>8989697390</v>
      </c>
      <c r="D2058" s="2">
        <v>1</v>
      </c>
      <c r="E2058" t="str">
        <f>"4574674200750974"</f>
        <v>4574674200750974</v>
      </c>
      <c r="F2058" t="str">
        <f>"873"</f>
        <v>873</v>
      </c>
      <c r="G2058">
        <v>1</v>
      </c>
      <c r="H2058">
        <v>2023</v>
      </c>
      <c r="I2058" t="s">
        <v>2173</v>
      </c>
    </row>
    <row r="2059" spans="1:9" x14ac:dyDescent="0.3">
      <c r="A2059" t="s">
        <v>10147</v>
      </c>
      <c r="B2059" t="s">
        <v>62</v>
      </c>
      <c r="C2059">
        <v>8989697390</v>
      </c>
      <c r="D2059" s="2">
        <v>1</v>
      </c>
      <c r="E2059" t="str">
        <f>"4574674200750982"</f>
        <v>4574674200750982</v>
      </c>
      <c r="F2059" t="str">
        <f>"710"</f>
        <v>710</v>
      </c>
      <c r="G2059">
        <v>1</v>
      </c>
      <c r="H2059">
        <v>2023</v>
      </c>
      <c r="I2059" t="s">
        <v>2174</v>
      </c>
    </row>
    <row r="2060" spans="1:9" x14ac:dyDescent="0.3">
      <c r="A2060" t="s">
        <v>10147</v>
      </c>
      <c r="B2060" t="s">
        <v>62</v>
      </c>
      <c r="C2060">
        <v>8989697390</v>
      </c>
      <c r="D2060" s="2">
        <v>1</v>
      </c>
      <c r="E2060" t="str">
        <f>"4574674200751220"</f>
        <v>4574674200751220</v>
      </c>
      <c r="F2060" t="str">
        <f>"082"</f>
        <v>082</v>
      </c>
      <c r="G2060">
        <v>1</v>
      </c>
      <c r="H2060">
        <v>2023</v>
      </c>
      <c r="I2060" t="s">
        <v>2175</v>
      </c>
    </row>
    <row r="2061" spans="1:9" x14ac:dyDescent="0.3">
      <c r="A2061" t="s">
        <v>10167</v>
      </c>
      <c r="B2061" t="s">
        <v>63</v>
      </c>
      <c r="C2061">
        <v>8989697390</v>
      </c>
      <c r="D2061" s="2">
        <v>1</v>
      </c>
      <c r="E2061" t="str">
        <f>"4574674200751105"</f>
        <v>4574674200751105</v>
      </c>
      <c r="F2061" t="str">
        <f>"285"</f>
        <v>285</v>
      </c>
      <c r="G2061">
        <v>1</v>
      </c>
      <c r="H2061">
        <v>2023</v>
      </c>
      <c r="I2061" t="s">
        <v>2176</v>
      </c>
    </row>
    <row r="2062" spans="1:9" x14ac:dyDescent="0.3">
      <c r="A2062" t="s">
        <v>10167</v>
      </c>
      <c r="B2062" t="s">
        <v>63</v>
      </c>
      <c r="C2062">
        <v>8989697390</v>
      </c>
      <c r="D2062" s="2">
        <v>1</v>
      </c>
      <c r="E2062" t="str">
        <f>"4574674200751238"</f>
        <v>4574674200751238</v>
      </c>
      <c r="F2062" t="str">
        <f>"170"</f>
        <v>170</v>
      </c>
      <c r="G2062">
        <v>1</v>
      </c>
      <c r="H2062">
        <v>2023</v>
      </c>
      <c r="I2062" t="s">
        <v>2177</v>
      </c>
    </row>
    <row r="2063" spans="1:9" x14ac:dyDescent="0.3">
      <c r="A2063" t="s">
        <v>10167</v>
      </c>
      <c r="B2063" t="s">
        <v>63</v>
      </c>
      <c r="C2063">
        <v>8989697390</v>
      </c>
      <c r="D2063" s="2">
        <v>1</v>
      </c>
      <c r="E2063" t="str">
        <f>"4574674200751261"</f>
        <v>4574674200751261</v>
      </c>
      <c r="F2063" t="str">
        <f>"546"</f>
        <v>546</v>
      </c>
      <c r="G2063">
        <v>1</v>
      </c>
      <c r="H2063">
        <v>2023</v>
      </c>
      <c r="I2063" t="s">
        <v>2178</v>
      </c>
    </row>
    <row r="2064" spans="1:9" x14ac:dyDescent="0.3">
      <c r="A2064" t="s">
        <v>10167</v>
      </c>
      <c r="B2064" t="s">
        <v>63</v>
      </c>
      <c r="C2064">
        <v>8989697390</v>
      </c>
      <c r="D2064" s="2">
        <v>1</v>
      </c>
      <c r="E2064" t="str">
        <f>"4574674200751279"</f>
        <v>4574674200751279</v>
      </c>
      <c r="F2064" t="str">
        <f>"422"</f>
        <v>422</v>
      </c>
      <c r="G2064">
        <v>1</v>
      </c>
      <c r="H2064">
        <v>2023</v>
      </c>
      <c r="I2064" t="s">
        <v>2179</v>
      </c>
    </row>
    <row r="2065" spans="1:9" x14ac:dyDescent="0.3">
      <c r="A2065" t="s">
        <v>10167</v>
      </c>
      <c r="B2065" t="s">
        <v>63</v>
      </c>
      <c r="C2065">
        <v>8989697390</v>
      </c>
      <c r="D2065" s="2">
        <v>1</v>
      </c>
      <c r="E2065" t="str">
        <f>"4574674200751428"</f>
        <v>4574674200751428</v>
      </c>
      <c r="F2065" t="str">
        <f>"925"</f>
        <v>925</v>
      </c>
      <c r="G2065">
        <v>1</v>
      </c>
      <c r="H2065">
        <v>2023</v>
      </c>
      <c r="I2065" t="s">
        <v>2180</v>
      </c>
    </row>
    <row r="2066" spans="1:9" x14ac:dyDescent="0.3">
      <c r="A2066" t="s">
        <v>10167</v>
      </c>
      <c r="B2066" t="s">
        <v>63</v>
      </c>
      <c r="C2066">
        <v>8989697390</v>
      </c>
      <c r="D2066" s="2">
        <v>1</v>
      </c>
      <c r="E2066" t="str">
        <f>"4574674200751303"</f>
        <v>4574674200751303</v>
      </c>
      <c r="F2066" t="str">
        <f>"484"</f>
        <v>484</v>
      </c>
      <c r="G2066">
        <v>1</v>
      </c>
      <c r="H2066">
        <v>2023</v>
      </c>
      <c r="I2066" t="s">
        <v>2181</v>
      </c>
    </row>
    <row r="2067" spans="1:9" x14ac:dyDescent="0.3">
      <c r="A2067" t="s">
        <v>10167</v>
      </c>
      <c r="B2067" t="s">
        <v>63</v>
      </c>
      <c r="C2067">
        <v>8989697390</v>
      </c>
      <c r="D2067" s="2">
        <v>1</v>
      </c>
      <c r="E2067" t="str">
        <f>"4574674200751436"</f>
        <v>4574674200751436</v>
      </c>
      <c r="F2067" t="str">
        <f>"129"</f>
        <v>129</v>
      </c>
      <c r="G2067">
        <v>1</v>
      </c>
      <c r="H2067">
        <v>2023</v>
      </c>
      <c r="I2067" t="s">
        <v>2182</v>
      </c>
    </row>
    <row r="2068" spans="1:9" x14ac:dyDescent="0.3">
      <c r="A2068" t="s">
        <v>10167</v>
      </c>
      <c r="B2068" t="s">
        <v>63</v>
      </c>
      <c r="C2068">
        <v>8989697390</v>
      </c>
      <c r="D2068" s="2">
        <v>1</v>
      </c>
      <c r="E2068" t="str">
        <f>"4574674200751329"</f>
        <v>4574674200751329</v>
      </c>
      <c r="F2068" t="str">
        <f>"931"</f>
        <v>931</v>
      </c>
      <c r="G2068">
        <v>1</v>
      </c>
      <c r="H2068">
        <v>2023</v>
      </c>
      <c r="I2068" t="s">
        <v>2183</v>
      </c>
    </row>
    <row r="2069" spans="1:9" x14ac:dyDescent="0.3">
      <c r="A2069" t="s">
        <v>10167</v>
      </c>
      <c r="B2069" t="s">
        <v>63</v>
      </c>
      <c r="C2069">
        <v>8989697390</v>
      </c>
      <c r="D2069" s="2">
        <v>1</v>
      </c>
      <c r="E2069" t="str">
        <f>"4574674200751360"</f>
        <v>4574674200751360</v>
      </c>
      <c r="F2069" t="str">
        <f>"600"</f>
        <v>600</v>
      </c>
      <c r="G2069">
        <v>1</v>
      </c>
      <c r="H2069">
        <v>2023</v>
      </c>
      <c r="I2069" t="s">
        <v>2184</v>
      </c>
    </row>
    <row r="2070" spans="1:9" x14ac:dyDescent="0.3">
      <c r="A2070" t="s">
        <v>10167</v>
      </c>
      <c r="B2070" t="s">
        <v>63</v>
      </c>
      <c r="C2070">
        <v>8989697390</v>
      </c>
      <c r="D2070" s="2">
        <v>1</v>
      </c>
      <c r="E2070" t="str">
        <f>"4574674200751493"</f>
        <v>4574674200751493</v>
      </c>
      <c r="F2070" t="str">
        <f>"250"</f>
        <v>250</v>
      </c>
      <c r="G2070">
        <v>1</v>
      </c>
      <c r="H2070">
        <v>2023</v>
      </c>
      <c r="I2070" t="s">
        <v>2185</v>
      </c>
    </row>
    <row r="2071" spans="1:9" x14ac:dyDescent="0.3">
      <c r="A2071" t="s">
        <v>10157</v>
      </c>
      <c r="B2071" t="s">
        <v>64</v>
      </c>
      <c r="C2071">
        <v>8989697390</v>
      </c>
      <c r="D2071" s="2">
        <v>1</v>
      </c>
      <c r="E2071" t="str">
        <f>"4574674200751543"</f>
        <v>4574674200751543</v>
      </c>
      <c r="F2071" t="str">
        <f>"667"</f>
        <v>667</v>
      </c>
      <c r="G2071">
        <v>1</v>
      </c>
      <c r="H2071">
        <v>2023</v>
      </c>
      <c r="I2071" t="s">
        <v>2186</v>
      </c>
    </row>
    <row r="2072" spans="1:9" x14ac:dyDescent="0.3">
      <c r="A2072" t="s">
        <v>10157</v>
      </c>
      <c r="B2072" t="s">
        <v>64</v>
      </c>
      <c r="C2072">
        <v>8989697390</v>
      </c>
      <c r="D2072" s="2">
        <v>1</v>
      </c>
      <c r="E2072" t="str">
        <f>"4574674200751386"</f>
        <v>4574674200751386</v>
      </c>
      <c r="F2072" t="str">
        <f>"121"</f>
        <v>121</v>
      </c>
      <c r="G2072">
        <v>1</v>
      </c>
      <c r="H2072">
        <v>2023</v>
      </c>
      <c r="I2072" t="s">
        <v>2187</v>
      </c>
    </row>
    <row r="2073" spans="1:9" x14ac:dyDescent="0.3">
      <c r="A2073" t="s">
        <v>10157</v>
      </c>
      <c r="B2073" t="s">
        <v>64</v>
      </c>
      <c r="C2073">
        <v>8989697390</v>
      </c>
      <c r="D2073" s="2">
        <v>1</v>
      </c>
      <c r="E2073" t="str">
        <f>"4574674200751394"</f>
        <v>4574674200751394</v>
      </c>
      <c r="F2073" t="str">
        <f>"216"</f>
        <v>216</v>
      </c>
      <c r="G2073">
        <v>1</v>
      </c>
      <c r="H2073">
        <v>2023</v>
      </c>
      <c r="I2073" t="s">
        <v>2188</v>
      </c>
    </row>
    <row r="2074" spans="1:9" x14ac:dyDescent="0.3">
      <c r="A2074" t="s">
        <v>10157</v>
      </c>
      <c r="B2074" t="s">
        <v>64</v>
      </c>
      <c r="C2074">
        <v>8989697390</v>
      </c>
      <c r="D2074" s="2">
        <v>1</v>
      </c>
      <c r="E2074" t="str">
        <f>"4574674200751600"</f>
        <v>4574674200751600</v>
      </c>
      <c r="F2074" t="str">
        <f>"177"</f>
        <v>177</v>
      </c>
      <c r="G2074">
        <v>1</v>
      </c>
      <c r="H2074">
        <v>2023</v>
      </c>
      <c r="I2074" t="s">
        <v>2189</v>
      </c>
    </row>
    <row r="2075" spans="1:9" x14ac:dyDescent="0.3">
      <c r="A2075" t="s">
        <v>10157</v>
      </c>
      <c r="B2075" t="s">
        <v>64</v>
      </c>
      <c r="C2075">
        <v>8989697390</v>
      </c>
      <c r="D2075" s="2">
        <v>1</v>
      </c>
      <c r="E2075" t="str">
        <f>"4574674200751642"</f>
        <v>4574674200751642</v>
      </c>
      <c r="F2075" t="str">
        <f>"032"</f>
        <v>032</v>
      </c>
      <c r="G2075">
        <v>1</v>
      </c>
      <c r="H2075">
        <v>2023</v>
      </c>
      <c r="I2075" t="s">
        <v>2190</v>
      </c>
    </row>
    <row r="2076" spans="1:9" x14ac:dyDescent="0.3">
      <c r="A2076" t="s">
        <v>10157</v>
      </c>
      <c r="B2076" t="s">
        <v>64</v>
      </c>
      <c r="C2076">
        <v>8989697390</v>
      </c>
      <c r="D2076" s="2">
        <v>1</v>
      </c>
      <c r="E2076" t="str">
        <f>"4574674200751683"</f>
        <v>4574674200751683</v>
      </c>
      <c r="F2076" t="str">
        <f>"324"</f>
        <v>324</v>
      </c>
      <c r="G2076">
        <v>1</v>
      </c>
      <c r="H2076">
        <v>2023</v>
      </c>
      <c r="I2076" t="s">
        <v>2191</v>
      </c>
    </row>
    <row r="2077" spans="1:9" x14ac:dyDescent="0.3">
      <c r="A2077" t="s">
        <v>10157</v>
      </c>
      <c r="B2077" t="s">
        <v>64</v>
      </c>
      <c r="C2077">
        <v>8989697390</v>
      </c>
      <c r="D2077" s="2">
        <v>1</v>
      </c>
      <c r="E2077" t="str">
        <f>"4574674200751865"</f>
        <v>4574674200751865</v>
      </c>
      <c r="F2077" t="str">
        <f>"020"</f>
        <v>020</v>
      </c>
      <c r="G2077">
        <v>1</v>
      </c>
      <c r="H2077">
        <v>2023</v>
      </c>
      <c r="I2077" t="s">
        <v>2192</v>
      </c>
    </row>
    <row r="2078" spans="1:9" x14ac:dyDescent="0.3">
      <c r="A2078" t="s">
        <v>10157</v>
      </c>
      <c r="B2078" t="s">
        <v>64</v>
      </c>
      <c r="C2078">
        <v>8989697390</v>
      </c>
      <c r="D2078" s="2">
        <v>1</v>
      </c>
      <c r="E2078" t="str">
        <f>"4574674200751857"</f>
        <v>4574674200751857</v>
      </c>
      <c r="F2078" t="str">
        <f>"960"</f>
        <v>960</v>
      </c>
      <c r="G2078">
        <v>1</v>
      </c>
      <c r="H2078">
        <v>2023</v>
      </c>
      <c r="I2078" t="s">
        <v>2193</v>
      </c>
    </row>
    <row r="2079" spans="1:9" x14ac:dyDescent="0.3">
      <c r="A2079" t="s">
        <v>10157</v>
      </c>
      <c r="B2079" t="s">
        <v>64</v>
      </c>
      <c r="C2079">
        <v>8989697390</v>
      </c>
      <c r="D2079" s="2">
        <v>1</v>
      </c>
      <c r="E2079" t="str">
        <f>"4574674200751709"</f>
        <v>4574674200751709</v>
      </c>
      <c r="F2079" t="str">
        <f>"598"</f>
        <v>598</v>
      </c>
      <c r="G2079">
        <v>1</v>
      </c>
      <c r="H2079">
        <v>2023</v>
      </c>
      <c r="I2079" t="s">
        <v>2194</v>
      </c>
    </row>
    <row r="2080" spans="1:9" x14ac:dyDescent="0.3">
      <c r="A2080" t="s">
        <v>10157</v>
      </c>
      <c r="B2080" t="s">
        <v>64</v>
      </c>
      <c r="C2080">
        <v>8989697390</v>
      </c>
      <c r="D2080" s="2">
        <v>1</v>
      </c>
      <c r="E2080" t="str">
        <f>"4574674200751717"</f>
        <v>4574674200751717</v>
      </c>
      <c r="F2080" t="str">
        <f>"510"</f>
        <v>510</v>
      </c>
      <c r="G2080">
        <v>1</v>
      </c>
      <c r="H2080">
        <v>2023</v>
      </c>
      <c r="I2080" t="s">
        <v>2195</v>
      </c>
    </row>
    <row r="2081" spans="1:9" x14ac:dyDescent="0.3">
      <c r="A2081" t="s">
        <v>10158</v>
      </c>
      <c r="B2081" t="s">
        <v>65</v>
      </c>
      <c r="C2081">
        <v>8989697390</v>
      </c>
      <c r="D2081" s="2">
        <v>1</v>
      </c>
      <c r="E2081" t="str">
        <f>"4574674200751741"</f>
        <v>4574674200751741</v>
      </c>
      <c r="F2081" t="str">
        <f>"236"</f>
        <v>236</v>
      </c>
      <c r="G2081">
        <v>1</v>
      </c>
      <c r="H2081">
        <v>2023</v>
      </c>
      <c r="I2081" t="s">
        <v>2196</v>
      </c>
    </row>
    <row r="2082" spans="1:9" x14ac:dyDescent="0.3">
      <c r="A2082" t="s">
        <v>10158</v>
      </c>
      <c r="B2082" t="s">
        <v>65</v>
      </c>
      <c r="C2082">
        <v>8989697390</v>
      </c>
      <c r="D2082" s="2">
        <v>1</v>
      </c>
      <c r="E2082" t="str">
        <f>"4574674200751774"</f>
        <v>4574674200751774</v>
      </c>
      <c r="F2082" t="str">
        <f>"076"</f>
        <v>076</v>
      </c>
      <c r="G2082">
        <v>1</v>
      </c>
      <c r="H2082">
        <v>2023</v>
      </c>
      <c r="I2082" t="s">
        <v>2197</v>
      </c>
    </row>
    <row r="2083" spans="1:9" x14ac:dyDescent="0.3">
      <c r="A2083" t="s">
        <v>10158</v>
      </c>
      <c r="B2083" t="s">
        <v>65</v>
      </c>
      <c r="C2083">
        <v>8989697390</v>
      </c>
      <c r="D2083" s="2">
        <v>1</v>
      </c>
      <c r="E2083" t="str">
        <f>"4574674200751956"</f>
        <v>4574674200751956</v>
      </c>
      <c r="F2083" t="str">
        <f>"705"</f>
        <v>705</v>
      </c>
      <c r="G2083">
        <v>1</v>
      </c>
      <c r="H2083">
        <v>2023</v>
      </c>
      <c r="I2083" t="s">
        <v>2198</v>
      </c>
    </row>
    <row r="2084" spans="1:9" x14ac:dyDescent="0.3">
      <c r="A2084" t="s">
        <v>10158</v>
      </c>
      <c r="B2084" t="s">
        <v>65</v>
      </c>
      <c r="C2084">
        <v>8989697390</v>
      </c>
      <c r="D2084" s="2">
        <v>1</v>
      </c>
      <c r="E2084" t="str">
        <f>"4574674200752046"</f>
        <v>4574674200752046</v>
      </c>
      <c r="F2084" t="str">
        <f>"874"</f>
        <v>874</v>
      </c>
      <c r="G2084">
        <v>1</v>
      </c>
      <c r="H2084">
        <v>2023</v>
      </c>
      <c r="I2084" t="s">
        <v>2199</v>
      </c>
    </row>
    <row r="2085" spans="1:9" x14ac:dyDescent="0.3">
      <c r="A2085" t="s">
        <v>10158</v>
      </c>
      <c r="B2085" t="s">
        <v>65</v>
      </c>
      <c r="C2085">
        <v>8989697390</v>
      </c>
      <c r="D2085" s="2">
        <v>1</v>
      </c>
      <c r="E2085" t="str">
        <f>"4574674200751790"</f>
        <v>4574674200751790</v>
      </c>
      <c r="F2085" t="str">
        <f>"275"</f>
        <v>275</v>
      </c>
      <c r="G2085">
        <v>1</v>
      </c>
      <c r="H2085">
        <v>2023</v>
      </c>
      <c r="I2085" t="s">
        <v>2200</v>
      </c>
    </row>
    <row r="2086" spans="1:9" x14ac:dyDescent="0.3">
      <c r="A2086" t="s">
        <v>10158</v>
      </c>
      <c r="B2086" t="s">
        <v>65</v>
      </c>
      <c r="C2086">
        <v>8989697390</v>
      </c>
      <c r="D2086" s="2">
        <v>1</v>
      </c>
      <c r="E2086" t="str">
        <f>"4574674200752244"</f>
        <v>4574674200752244</v>
      </c>
      <c r="F2086" t="str">
        <f>"564"</f>
        <v>564</v>
      </c>
      <c r="G2086">
        <v>1</v>
      </c>
      <c r="H2086">
        <v>2023</v>
      </c>
      <c r="I2086" t="s">
        <v>2201</v>
      </c>
    </row>
    <row r="2087" spans="1:9" x14ac:dyDescent="0.3">
      <c r="A2087" t="s">
        <v>10158</v>
      </c>
      <c r="B2087" t="s">
        <v>65</v>
      </c>
      <c r="C2087">
        <v>8989697390</v>
      </c>
      <c r="D2087" s="2">
        <v>1</v>
      </c>
      <c r="E2087" t="str">
        <f>"4574674200752251"</f>
        <v>4574674200752251</v>
      </c>
      <c r="F2087" t="str">
        <f>"827"</f>
        <v>827</v>
      </c>
      <c r="G2087">
        <v>1</v>
      </c>
      <c r="H2087">
        <v>2023</v>
      </c>
      <c r="I2087" t="s">
        <v>2202</v>
      </c>
    </row>
    <row r="2088" spans="1:9" x14ac:dyDescent="0.3">
      <c r="A2088" t="s">
        <v>10158</v>
      </c>
      <c r="B2088" t="s">
        <v>65</v>
      </c>
      <c r="C2088">
        <v>8989697390</v>
      </c>
      <c r="D2088" s="2">
        <v>1</v>
      </c>
      <c r="E2088" t="str">
        <f>"4574674200752269"</f>
        <v>4574674200752269</v>
      </c>
      <c r="F2088" t="str">
        <f>"729"</f>
        <v>729</v>
      </c>
      <c r="G2088">
        <v>1</v>
      </c>
      <c r="H2088">
        <v>2023</v>
      </c>
      <c r="I2088" t="s">
        <v>2203</v>
      </c>
    </row>
    <row r="2089" spans="1:9" x14ac:dyDescent="0.3">
      <c r="A2089" t="s">
        <v>10158</v>
      </c>
      <c r="B2089" t="s">
        <v>65</v>
      </c>
      <c r="C2089">
        <v>8989697390</v>
      </c>
      <c r="D2089" s="2">
        <v>1</v>
      </c>
      <c r="E2089" t="str">
        <f>"4574674200752277"</f>
        <v>4574674200752277</v>
      </c>
      <c r="F2089" t="str">
        <f>"070"</f>
        <v>070</v>
      </c>
      <c r="G2089">
        <v>1</v>
      </c>
      <c r="H2089">
        <v>2023</v>
      </c>
      <c r="I2089" t="s">
        <v>2204</v>
      </c>
    </row>
    <row r="2090" spans="1:9" x14ac:dyDescent="0.3">
      <c r="A2090" t="s">
        <v>10158</v>
      </c>
      <c r="B2090" t="s">
        <v>65</v>
      </c>
      <c r="C2090">
        <v>8989697390</v>
      </c>
      <c r="D2090" s="2">
        <v>1</v>
      </c>
      <c r="E2090" t="str">
        <f>"4574674200752194"</f>
        <v>4574674200752194</v>
      </c>
      <c r="F2090" t="str">
        <f>"752"</f>
        <v>752</v>
      </c>
      <c r="G2090">
        <v>1</v>
      </c>
      <c r="H2090">
        <v>2023</v>
      </c>
      <c r="I2090" t="s">
        <v>2205</v>
      </c>
    </row>
    <row r="2091" spans="1:9" x14ac:dyDescent="0.3">
      <c r="A2091" t="s">
        <v>10159</v>
      </c>
      <c r="B2091" t="s">
        <v>66</v>
      </c>
      <c r="C2091">
        <v>8989697390</v>
      </c>
      <c r="D2091" s="2">
        <v>1</v>
      </c>
      <c r="E2091" t="str">
        <f>"4574674200752418"</f>
        <v>4574674200752418</v>
      </c>
      <c r="F2091" t="str">
        <f>"720"</f>
        <v>720</v>
      </c>
      <c r="G2091">
        <v>1</v>
      </c>
      <c r="H2091">
        <v>2023</v>
      </c>
      <c r="I2091" t="s">
        <v>2206</v>
      </c>
    </row>
    <row r="2092" spans="1:9" x14ac:dyDescent="0.3">
      <c r="A2092" t="s">
        <v>10159</v>
      </c>
      <c r="B2092" t="s">
        <v>66</v>
      </c>
      <c r="C2092">
        <v>8989697390</v>
      </c>
      <c r="D2092" s="2">
        <v>1</v>
      </c>
      <c r="E2092" t="str">
        <f>"4574674200752327"</f>
        <v>4574674200752327</v>
      </c>
      <c r="F2092" t="str">
        <f>"746"</f>
        <v>746</v>
      </c>
      <c r="G2092">
        <v>1</v>
      </c>
      <c r="H2092">
        <v>2023</v>
      </c>
      <c r="I2092" t="s">
        <v>2207</v>
      </c>
    </row>
    <row r="2093" spans="1:9" x14ac:dyDescent="0.3">
      <c r="A2093" t="s">
        <v>10159</v>
      </c>
      <c r="B2093" t="s">
        <v>66</v>
      </c>
      <c r="C2093">
        <v>8989697390</v>
      </c>
      <c r="D2093" s="2">
        <v>1</v>
      </c>
      <c r="E2093" t="str">
        <f>"4574674200752335"</f>
        <v>4574674200752335</v>
      </c>
      <c r="F2093" t="str">
        <f>"246"</f>
        <v>246</v>
      </c>
      <c r="G2093">
        <v>1</v>
      </c>
      <c r="H2093">
        <v>2023</v>
      </c>
      <c r="I2093" t="s">
        <v>2208</v>
      </c>
    </row>
    <row r="2094" spans="1:9" x14ac:dyDescent="0.3">
      <c r="A2094" t="s">
        <v>10159</v>
      </c>
      <c r="B2094" t="s">
        <v>66</v>
      </c>
      <c r="C2094">
        <v>8989697390</v>
      </c>
      <c r="D2094" s="2">
        <v>1</v>
      </c>
      <c r="E2094" t="str">
        <f>"4574674200752384"</f>
        <v>4574674200752384</v>
      </c>
      <c r="F2094" t="str">
        <f>"259"</f>
        <v>259</v>
      </c>
      <c r="G2094">
        <v>1</v>
      </c>
      <c r="H2094">
        <v>2023</v>
      </c>
      <c r="I2094" t="s">
        <v>2209</v>
      </c>
    </row>
    <row r="2095" spans="1:9" x14ac:dyDescent="0.3">
      <c r="A2095" t="s">
        <v>10159</v>
      </c>
      <c r="B2095" t="s">
        <v>66</v>
      </c>
      <c r="C2095">
        <v>8989697390</v>
      </c>
      <c r="D2095" s="2">
        <v>1</v>
      </c>
      <c r="E2095" t="str">
        <f>"4574674200752608"</f>
        <v>4574674200752608</v>
      </c>
      <c r="F2095" t="str">
        <f>"873"</f>
        <v>873</v>
      </c>
      <c r="G2095">
        <v>1</v>
      </c>
      <c r="H2095">
        <v>2023</v>
      </c>
      <c r="I2095" t="s">
        <v>2210</v>
      </c>
    </row>
    <row r="2096" spans="1:9" x14ac:dyDescent="0.3">
      <c r="A2096" t="s">
        <v>10159</v>
      </c>
      <c r="B2096" t="s">
        <v>66</v>
      </c>
      <c r="C2096">
        <v>8989697390</v>
      </c>
      <c r="D2096" s="2">
        <v>1</v>
      </c>
      <c r="E2096" t="str">
        <f>"4574674200752624"</f>
        <v>4574674200752624</v>
      </c>
      <c r="F2096" t="str">
        <f>"560"</f>
        <v>560</v>
      </c>
      <c r="G2096">
        <v>1</v>
      </c>
      <c r="H2096">
        <v>2023</v>
      </c>
      <c r="I2096" t="s">
        <v>2211</v>
      </c>
    </row>
    <row r="2097" spans="1:9" x14ac:dyDescent="0.3">
      <c r="A2097" t="s">
        <v>10159</v>
      </c>
      <c r="B2097" t="s">
        <v>66</v>
      </c>
      <c r="C2097">
        <v>8989697390</v>
      </c>
      <c r="D2097" s="2">
        <v>1</v>
      </c>
      <c r="E2097" t="str">
        <f>"4574674200752517"</f>
        <v>4574674200752517</v>
      </c>
      <c r="F2097" t="str">
        <f>"306"</f>
        <v>306</v>
      </c>
      <c r="G2097">
        <v>1</v>
      </c>
      <c r="H2097">
        <v>2023</v>
      </c>
      <c r="I2097" t="s">
        <v>2212</v>
      </c>
    </row>
    <row r="2098" spans="1:9" x14ac:dyDescent="0.3">
      <c r="A2098" t="s">
        <v>10159</v>
      </c>
      <c r="B2098" t="s">
        <v>66</v>
      </c>
      <c r="C2098">
        <v>8989697390</v>
      </c>
      <c r="D2098" s="2">
        <v>1</v>
      </c>
      <c r="E2098" t="str">
        <f>"4574674200752582"</f>
        <v>4574674200752582</v>
      </c>
      <c r="F2098" t="str">
        <f>"425"</f>
        <v>425</v>
      </c>
      <c r="G2098">
        <v>1</v>
      </c>
      <c r="H2098">
        <v>2023</v>
      </c>
      <c r="I2098" t="s">
        <v>2213</v>
      </c>
    </row>
    <row r="2099" spans="1:9" x14ac:dyDescent="0.3">
      <c r="A2099" t="s">
        <v>10159</v>
      </c>
      <c r="B2099" t="s">
        <v>66</v>
      </c>
      <c r="C2099">
        <v>8989697390</v>
      </c>
      <c r="D2099" s="2">
        <v>1</v>
      </c>
      <c r="E2099" t="str">
        <f>"4574674200752632"</f>
        <v>4574674200752632</v>
      </c>
      <c r="F2099" t="str">
        <f>"346"</f>
        <v>346</v>
      </c>
      <c r="G2099">
        <v>1</v>
      </c>
      <c r="H2099">
        <v>2023</v>
      </c>
      <c r="I2099" t="s">
        <v>2214</v>
      </c>
    </row>
    <row r="2100" spans="1:9" x14ac:dyDescent="0.3">
      <c r="A2100" t="s">
        <v>10159</v>
      </c>
      <c r="B2100" t="s">
        <v>66</v>
      </c>
      <c r="C2100">
        <v>8989697390</v>
      </c>
      <c r="D2100" s="2">
        <v>1</v>
      </c>
      <c r="E2100" t="str">
        <f>"4574674200752657"</f>
        <v>4574674200752657</v>
      </c>
      <c r="F2100" t="str">
        <f>"649"</f>
        <v>649</v>
      </c>
      <c r="G2100">
        <v>1</v>
      </c>
      <c r="H2100">
        <v>2023</v>
      </c>
      <c r="I2100" t="s">
        <v>2215</v>
      </c>
    </row>
    <row r="2101" spans="1:9" x14ac:dyDescent="0.3">
      <c r="A2101" t="s">
        <v>10130</v>
      </c>
      <c r="B2101" t="s">
        <v>67</v>
      </c>
      <c r="C2101">
        <v>8989697390</v>
      </c>
      <c r="D2101" s="2">
        <v>1</v>
      </c>
      <c r="E2101" t="str">
        <f>"4574674200752715"</f>
        <v>4574674200752715</v>
      </c>
      <c r="F2101" t="str">
        <f>"098"</f>
        <v>098</v>
      </c>
      <c r="G2101">
        <v>1</v>
      </c>
      <c r="H2101">
        <v>2023</v>
      </c>
      <c r="I2101" t="s">
        <v>2216</v>
      </c>
    </row>
    <row r="2102" spans="1:9" x14ac:dyDescent="0.3">
      <c r="A2102" t="s">
        <v>10130</v>
      </c>
      <c r="B2102" t="s">
        <v>67</v>
      </c>
      <c r="C2102">
        <v>8989697390</v>
      </c>
      <c r="D2102" s="2">
        <v>1</v>
      </c>
      <c r="E2102" t="str">
        <f>"4574674200752723"</f>
        <v>4574674200752723</v>
      </c>
      <c r="F2102" t="str">
        <f>"225"</f>
        <v>225</v>
      </c>
      <c r="G2102">
        <v>1</v>
      </c>
      <c r="H2102">
        <v>2023</v>
      </c>
      <c r="I2102" t="s">
        <v>2217</v>
      </c>
    </row>
    <row r="2103" spans="1:9" x14ac:dyDescent="0.3">
      <c r="A2103" t="s">
        <v>10130</v>
      </c>
      <c r="B2103" t="s">
        <v>67</v>
      </c>
      <c r="C2103">
        <v>8989697390</v>
      </c>
      <c r="D2103" s="2">
        <v>1</v>
      </c>
      <c r="E2103" t="str">
        <f>"4574674200752731"</f>
        <v>4574674200752731</v>
      </c>
      <c r="F2103" t="str">
        <f>"742"</f>
        <v>742</v>
      </c>
      <c r="G2103">
        <v>1</v>
      </c>
      <c r="H2103">
        <v>2023</v>
      </c>
      <c r="I2103" t="s">
        <v>2218</v>
      </c>
    </row>
    <row r="2104" spans="1:9" x14ac:dyDescent="0.3">
      <c r="A2104" t="s">
        <v>10130</v>
      </c>
      <c r="B2104" t="s">
        <v>67</v>
      </c>
      <c r="C2104">
        <v>8989697390</v>
      </c>
      <c r="D2104" s="2">
        <v>1</v>
      </c>
      <c r="E2104" t="str">
        <f>"4574674200752848"</f>
        <v>4574674200752848</v>
      </c>
      <c r="F2104" t="str">
        <f>"423"</f>
        <v>423</v>
      </c>
      <c r="G2104">
        <v>1</v>
      </c>
      <c r="H2104">
        <v>2023</v>
      </c>
      <c r="I2104" t="s">
        <v>2219</v>
      </c>
    </row>
    <row r="2105" spans="1:9" x14ac:dyDescent="0.3">
      <c r="A2105" t="s">
        <v>10130</v>
      </c>
      <c r="B2105" t="s">
        <v>67</v>
      </c>
      <c r="C2105">
        <v>8989697390</v>
      </c>
      <c r="D2105" s="2">
        <v>1</v>
      </c>
      <c r="E2105" t="str">
        <f>"4574674200752889"</f>
        <v>4574674200752889</v>
      </c>
      <c r="F2105" t="str">
        <f>"992"</f>
        <v>992</v>
      </c>
      <c r="G2105">
        <v>1</v>
      </c>
      <c r="H2105">
        <v>2023</v>
      </c>
      <c r="I2105" t="s">
        <v>2220</v>
      </c>
    </row>
    <row r="2106" spans="1:9" x14ac:dyDescent="0.3">
      <c r="A2106" t="s">
        <v>10130</v>
      </c>
      <c r="B2106" t="s">
        <v>67</v>
      </c>
      <c r="C2106">
        <v>8989697390</v>
      </c>
      <c r="D2106" s="2">
        <v>1</v>
      </c>
      <c r="E2106" t="str">
        <f>"4574674200752764"</f>
        <v>4574674200752764</v>
      </c>
      <c r="F2106" t="str">
        <f>"475"</f>
        <v>475</v>
      </c>
      <c r="G2106">
        <v>1</v>
      </c>
      <c r="H2106">
        <v>2023</v>
      </c>
      <c r="I2106" t="s">
        <v>2221</v>
      </c>
    </row>
    <row r="2107" spans="1:9" x14ac:dyDescent="0.3">
      <c r="A2107" t="s">
        <v>10130</v>
      </c>
      <c r="B2107" t="s">
        <v>67</v>
      </c>
      <c r="C2107">
        <v>8989697390</v>
      </c>
      <c r="D2107" s="2">
        <v>1</v>
      </c>
      <c r="E2107" t="str">
        <f>"4574674200753036"</f>
        <v>4574674200753036</v>
      </c>
      <c r="F2107" t="str">
        <f>"150"</f>
        <v>150</v>
      </c>
      <c r="G2107">
        <v>1</v>
      </c>
      <c r="H2107">
        <v>2023</v>
      </c>
      <c r="I2107" t="s">
        <v>2222</v>
      </c>
    </row>
    <row r="2108" spans="1:9" x14ac:dyDescent="0.3">
      <c r="A2108" t="s">
        <v>10130</v>
      </c>
      <c r="B2108" t="s">
        <v>67</v>
      </c>
      <c r="C2108">
        <v>8989697390</v>
      </c>
      <c r="D2108" s="2">
        <v>1</v>
      </c>
      <c r="E2108" t="str">
        <f>"4574674200753010"</f>
        <v>4574674200753010</v>
      </c>
      <c r="F2108" t="str">
        <f>"162"</f>
        <v>162</v>
      </c>
      <c r="G2108">
        <v>1</v>
      </c>
      <c r="H2108">
        <v>2023</v>
      </c>
      <c r="I2108" t="s">
        <v>2223</v>
      </c>
    </row>
    <row r="2109" spans="1:9" x14ac:dyDescent="0.3">
      <c r="A2109" t="s">
        <v>10130</v>
      </c>
      <c r="B2109" t="s">
        <v>67</v>
      </c>
      <c r="C2109">
        <v>8989697390</v>
      </c>
      <c r="D2109" s="2">
        <v>1</v>
      </c>
      <c r="E2109" t="str">
        <f>"4574674200753028"</f>
        <v>4574674200753028</v>
      </c>
      <c r="F2109" t="str">
        <f>"721"</f>
        <v>721</v>
      </c>
      <c r="G2109">
        <v>1</v>
      </c>
      <c r="H2109">
        <v>2023</v>
      </c>
      <c r="I2109" t="s">
        <v>2224</v>
      </c>
    </row>
    <row r="2110" spans="1:9" x14ac:dyDescent="0.3">
      <c r="A2110" t="s">
        <v>10130</v>
      </c>
      <c r="B2110" t="s">
        <v>67</v>
      </c>
      <c r="C2110">
        <v>8989697390</v>
      </c>
      <c r="D2110" s="2">
        <v>1</v>
      </c>
      <c r="E2110" t="str">
        <f>"4574674200753044"</f>
        <v>4574674200753044</v>
      </c>
      <c r="F2110" t="str">
        <f>"303"</f>
        <v>303</v>
      </c>
      <c r="G2110">
        <v>1</v>
      </c>
      <c r="H2110">
        <v>2023</v>
      </c>
      <c r="I2110" t="s">
        <v>2225</v>
      </c>
    </row>
    <row r="2111" spans="1:9" x14ac:dyDescent="0.3">
      <c r="A2111" t="s">
        <v>10132</v>
      </c>
      <c r="B2111" t="s">
        <v>68</v>
      </c>
      <c r="C2111">
        <v>8989697390</v>
      </c>
      <c r="D2111" s="2">
        <v>1</v>
      </c>
      <c r="E2111" t="str">
        <f>"4574674200753200"</f>
        <v>4574674200753200</v>
      </c>
      <c r="F2111" t="str">
        <f>"595"</f>
        <v>595</v>
      </c>
      <c r="G2111">
        <v>1</v>
      </c>
      <c r="H2111">
        <v>2023</v>
      </c>
      <c r="I2111" t="s">
        <v>2226</v>
      </c>
    </row>
    <row r="2112" spans="1:9" x14ac:dyDescent="0.3">
      <c r="A2112" t="s">
        <v>10132</v>
      </c>
      <c r="B2112" t="s">
        <v>68</v>
      </c>
      <c r="C2112">
        <v>8989697390</v>
      </c>
      <c r="D2112" s="2">
        <v>1</v>
      </c>
      <c r="E2112" t="str">
        <f>"4574674200753291"</f>
        <v>4574674200753291</v>
      </c>
      <c r="F2112" t="str">
        <f>"108"</f>
        <v>108</v>
      </c>
      <c r="G2112">
        <v>1</v>
      </c>
      <c r="H2112">
        <v>2023</v>
      </c>
      <c r="I2112" t="s">
        <v>2227</v>
      </c>
    </row>
    <row r="2113" spans="1:9" x14ac:dyDescent="0.3">
      <c r="A2113" t="s">
        <v>10132</v>
      </c>
      <c r="B2113" t="s">
        <v>68</v>
      </c>
      <c r="C2113">
        <v>8989697390</v>
      </c>
      <c r="D2113" s="2">
        <v>1</v>
      </c>
      <c r="E2113" t="str">
        <f>"4574674200753077"</f>
        <v>4574674200753077</v>
      </c>
      <c r="F2113" t="str">
        <f>"439"</f>
        <v>439</v>
      </c>
      <c r="G2113">
        <v>1</v>
      </c>
      <c r="H2113">
        <v>2023</v>
      </c>
      <c r="I2113" t="s">
        <v>2228</v>
      </c>
    </row>
    <row r="2114" spans="1:9" x14ac:dyDescent="0.3">
      <c r="A2114" t="s">
        <v>10132</v>
      </c>
      <c r="B2114" t="s">
        <v>68</v>
      </c>
      <c r="C2114">
        <v>8989697390</v>
      </c>
      <c r="D2114" s="2">
        <v>1</v>
      </c>
      <c r="E2114" t="str">
        <f>"4574674200753093"</f>
        <v>4574674200753093</v>
      </c>
      <c r="F2114" t="str">
        <f>"696"</f>
        <v>696</v>
      </c>
      <c r="G2114">
        <v>1</v>
      </c>
      <c r="H2114">
        <v>2023</v>
      </c>
      <c r="I2114" t="s">
        <v>2229</v>
      </c>
    </row>
    <row r="2115" spans="1:9" x14ac:dyDescent="0.3">
      <c r="A2115" t="s">
        <v>10132</v>
      </c>
      <c r="B2115" t="s">
        <v>68</v>
      </c>
      <c r="C2115">
        <v>8989697390</v>
      </c>
      <c r="D2115" s="2">
        <v>1</v>
      </c>
      <c r="E2115" t="str">
        <f>"4574674200753135"</f>
        <v>4574674200753135</v>
      </c>
      <c r="F2115" t="str">
        <f>"489"</f>
        <v>489</v>
      </c>
      <c r="G2115">
        <v>1</v>
      </c>
      <c r="H2115">
        <v>2023</v>
      </c>
      <c r="I2115" t="s">
        <v>2230</v>
      </c>
    </row>
    <row r="2116" spans="1:9" x14ac:dyDescent="0.3">
      <c r="A2116" t="s">
        <v>10132</v>
      </c>
      <c r="B2116" t="s">
        <v>68</v>
      </c>
      <c r="C2116">
        <v>8989697390</v>
      </c>
      <c r="D2116" s="2">
        <v>1</v>
      </c>
      <c r="E2116" t="str">
        <f>"4574674200753101"</f>
        <v>4574674200753101</v>
      </c>
      <c r="F2116" t="str">
        <f>"476"</f>
        <v>476</v>
      </c>
      <c r="G2116">
        <v>1</v>
      </c>
      <c r="H2116">
        <v>2023</v>
      </c>
      <c r="I2116" t="s">
        <v>2231</v>
      </c>
    </row>
    <row r="2117" spans="1:9" x14ac:dyDescent="0.3">
      <c r="A2117" t="s">
        <v>10132</v>
      </c>
      <c r="B2117" t="s">
        <v>68</v>
      </c>
      <c r="C2117">
        <v>8989697390</v>
      </c>
      <c r="D2117" s="2">
        <v>1</v>
      </c>
      <c r="E2117" t="str">
        <f>"4574674200753168"</f>
        <v>4574674200753168</v>
      </c>
      <c r="F2117" t="str">
        <f>"520"</f>
        <v>520</v>
      </c>
      <c r="G2117">
        <v>1</v>
      </c>
      <c r="H2117">
        <v>2023</v>
      </c>
      <c r="I2117" t="s">
        <v>2232</v>
      </c>
    </row>
    <row r="2118" spans="1:9" x14ac:dyDescent="0.3">
      <c r="A2118" t="s">
        <v>10132</v>
      </c>
      <c r="B2118" t="s">
        <v>68</v>
      </c>
      <c r="C2118">
        <v>8989697390</v>
      </c>
      <c r="D2118" s="2">
        <v>1</v>
      </c>
      <c r="E2118" t="str">
        <f>"4574674200753440"</f>
        <v>4574674200753440</v>
      </c>
      <c r="F2118" t="str">
        <f>"574"</f>
        <v>574</v>
      </c>
      <c r="G2118">
        <v>1</v>
      </c>
      <c r="H2118">
        <v>2023</v>
      </c>
      <c r="I2118" t="s">
        <v>2233</v>
      </c>
    </row>
    <row r="2119" spans="1:9" x14ac:dyDescent="0.3">
      <c r="A2119" t="s">
        <v>10132</v>
      </c>
      <c r="B2119" t="s">
        <v>68</v>
      </c>
      <c r="C2119">
        <v>8989697390</v>
      </c>
      <c r="D2119" s="2">
        <v>1</v>
      </c>
      <c r="E2119" t="str">
        <f>"4574674200753465"</f>
        <v>4574674200753465</v>
      </c>
      <c r="F2119" t="str">
        <f>"749"</f>
        <v>749</v>
      </c>
      <c r="G2119">
        <v>1</v>
      </c>
      <c r="H2119">
        <v>2023</v>
      </c>
      <c r="I2119" t="s">
        <v>2234</v>
      </c>
    </row>
    <row r="2120" spans="1:9" x14ac:dyDescent="0.3">
      <c r="A2120" t="s">
        <v>10132</v>
      </c>
      <c r="B2120" t="s">
        <v>68</v>
      </c>
      <c r="C2120">
        <v>8989697390</v>
      </c>
      <c r="D2120" s="2">
        <v>1</v>
      </c>
      <c r="E2120" t="str">
        <f>"4574674200753622"</f>
        <v>4574674200753622</v>
      </c>
      <c r="F2120" t="str">
        <f>"297"</f>
        <v>297</v>
      </c>
      <c r="G2120">
        <v>1</v>
      </c>
      <c r="H2120">
        <v>2023</v>
      </c>
      <c r="I2120" t="s">
        <v>2235</v>
      </c>
    </row>
    <row r="2121" spans="1:9" x14ac:dyDescent="0.3">
      <c r="A2121" t="s">
        <v>10168</v>
      </c>
      <c r="B2121" t="s">
        <v>69</v>
      </c>
      <c r="C2121">
        <v>8989697390</v>
      </c>
      <c r="D2121" s="2">
        <v>1</v>
      </c>
      <c r="E2121" t="str">
        <f>"4574674200753648"</f>
        <v>4574674200753648</v>
      </c>
      <c r="F2121" t="str">
        <f>"569"</f>
        <v>569</v>
      </c>
      <c r="G2121">
        <v>1</v>
      </c>
      <c r="H2121">
        <v>2023</v>
      </c>
      <c r="I2121" t="s">
        <v>2236</v>
      </c>
    </row>
    <row r="2122" spans="1:9" x14ac:dyDescent="0.3">
      <c r="A2122" t="s">
        <v>10168</v>
      </c>
      <c r="B2122" t="s">
        <v>69</v>
      </c>
      <c r="C2122">
        <v>8989697390</v>
      </c>
      <c r="D2122" s="2">
        <v>1</v>
      </c>
      <c r="E2122" t="str">
        <f>"4574674200753564"</f>
        <v>4574674200753564</v>
      </c>
      <c r="F2122" t="str">
        <f>"036"</f>
        <v>036</v>
      </c>
      <c r="G2122">
        <v>1</v>
      </c>
      <c r="H2122">
        <v>2023</v>
      </c>
      <c r="I2122" t="s">
        <v>2237</v>
      </c>
    </row>
    <row r="2123" spans="1:9" x14ac:dyDescent="0.3">
      <c r="A2123" t="s">
        <v>10168</v>
      </c>
      <c r="B2123" t="s">
        <v>69</v>
      </c>
      <c r="C2123">
        <v>8989697390</v>
      </c>
      <c r="D2123" s="2">
        <v>1</v>
      </c>
      <c r="E2123" t="str">
        <f>"4574674200753598"</f>
        <v>4574674200753598</v>
      </c>
      <c r="F2123" t="str">
        <f>"058"</f>
        <v>058</v>
      </c>
      <c r="G2123">
        <v>1</v>
      </c>
      <c r="H2123">
        <v>2023</v>
      </c>
      <c r="I2123" t="s">
        <v>2238</v>
      </c>
    </row>
    <row r="2124" spans="1:9" x14ac:dyDescent="0.3">
      <c r="A2124" t="s">
        <v>10168</v>
      </c>
      <c r="B2124" t="s">
        <v>69</v>
      </c>
      <c r="C2124">
        <v>8989697390</v>
      </c>
      <c r="D2124" s="2">
        <v>1</v>
      </c>
      <c r="E2124" t="str">
        <f>"4574674200753655"</f>
        <v>4574674200753655</v>
      </c>
      <c r="F2124" t="str">
        <f>"651"</f>
        <v>651</v>
      </c>
      <c r="G2124">
        <v>1</v>
      </c>
      <c r="H2124">
        <v>2023</v>
      </c>
      <c r="I2124" t="s">
        <v>2239</v>
      </c>
    </row>
    <row r="2125" spans="1:9" x14ac:dyDescent="0.3">
      <c r="A2125" t="s">
        <v>10168</v>
      </c>
      <c r="B2125" t="s">
        <v>69</v>
      </c>
      <c r="C2125">
        <v>8989697390</v>
      </c>
      <c r="D2125" s="2">
        <v>1</v>
      </c>
      <c r="E2125" t="str">
        <f>"4574674200753671"</f>
        <v>4574674200753671</v>
      </c>
      <c r="F2125" t="str">
        <f>"248"</f>
        <v>248</v>
      </c>
      <c r="G2125">
        <v>1</v>
      </c>
      <c r="H2125">
        <v>2023</v>
      </c>
      <c r="I2125" t="s">
        <v>2240</v>
      </c>
    </row>
    <row r="2126" spans="1:9" x14ac:dyDescent="0.3">
      <c r="A2126" t="s">
        <v>10168</v>
      </c>
      <c r="B2126" t="s">
        <v>69</v>
      </c>
      <c r="C2126">
        <v>8989697390</v>
      </c>
      <c r="D2126" s="2">
        <v>1</v>
      </c>
      <c r="E2126" t="str">
        <f>"4574674200753689"</f>
        <v>4574674200753689</v>
      </c>
      <c r="F2126" t="str">
        <f>"725"</f>
        <v>725</v>
      </c>
      <c r="G2126">
        <v>1</v>
      </c>
      <c r="H2126">
        <v>2023</v>
      </c>
      <c r="I2126" t="s">
        <v>2241</v>
      </c>
    </row>
    <row r="2127" spans="1:9" x14ac:dyDescent="0.3">
      <c r="A2127" t="s">
        <v>10168</v>
      </c>
      <c r="B2127" t="s">
        <v>69</v>
      </c>
      <c r="C2127">
        <v>8989697390</v>
      </c>
      <c r="D2127" s="2">
        <v>1</v>
      </c>
      <c r="E2127" t="str">
        <f>"4574674200753721"</f>
        <v>4574674200753721</v>
      </c>
      <c r="F2127" t="str">
        <f>"075"</f>
        <v>075</v>
      </c>
      <c r="G2127">
        <v>1</v>
      </c>
      <c r="H2127">
        <v>2023</v>
      </c>
      <c r="I2127" t="s">
        <v>2242</v>
      </c>
    </row>
    <row r="2128" spans="1:9" x14ac:dyDescent="0.3">
      <c r="A2128" t="s">
        <v>10168</v>
      </c>
      <c r="B2128" t="s">
        <v>69</v>
      </c>
      <c r="C2128">
        <v>8989697390</v>
      </c>
      <c r="D2128" s="2">
        <v>1</v>
      </c>
      <c r="E2128" t="str">
        <f>"4574674200753879"</f>
        <v>4574674200753879</v>
      </c>
      <c r="F2128" t="str">
        <f>"547"</f>
        <v>547</v>
      </c>
      <c r="G2128">
        <v>1</v>
      </c>
      <c r="H2128">
        <v>2023</v>
      </c>
      <c r="I2128" t="s">
        <v>2243</v>
      </c>
    </row>
    <row r="2129" spans="1:9" x14ac:dyDescent="0.3">
      <c r="A2129" t="s">
        <v>10168</v>
      </c>
      <c r="B2129" t="s">
        <v>69</v>
      </c>
      <c r="C2129">
        <v>8989697390</v>
      </c>
      <c r="D2129" s="2">
        <v>1</v>
      </c>
      <c r="E2129" t="str">
        <f>"4574674200753911"</f>
        <v>4574674200753911</v>
      </c>
      <c r="F2129" t="str">
        <f>"757"</f>
        <v>757</v>
      </c>
      <c r="G2129">
        <v>1</v>
      </c>
      <c r="H2129">
        <v>2023</v>
      </c>
      <c r="I2129" t="s">
        <v>2244</v>
      </c>
    </row>
    <row r="2130" spans="1:9" x14ac:dyDescent="0.3">
      <c r="A2130" t="s">
        <v>10168</v>
      </c>
      <c r="B2130" t="s">
        <v>69</v>
      </c>
      <c r="C2130">
        <v>8989697390</v>
      </c>
      <c r="D2130" s="2">
        <v>1</v>
      </c>
      <c r="E2130" t="str">
        <f>"4574674200753762"</f>
        <v>4574674200753762</v>
      </c>
      <c r="F2130" t="str">
        <f>"816"</f>
        <v>816</v>
      </c>
      <c r="G2130">
        <v>1</v>
      </c>
      <c r="H2130">
        <v>2023</v>
      </c>
      <c r="I2130" t="s">
        <v>2245</v>
      </c>
    </row>
    <row r="2131" spans="1:9" x14ac:dyDescent="0.3">
      <c r="A2131" t="s">
        <v>10169</v>
      </c>
      <c r="B2131" t="s">
        <v>70</v>
      </c>
      <c r="C2131">
        <v>8989697390</v>
      </c>
      <c r="D2131" s="2">
        <v>1</v>
      </c>
      <c r="E2131" t="str">
        <f>"4574674200754018"</f>
        <v>4574674200754018</v>
      </c>
      <c r="F2131" t="str">
        <f>"776"</f>
        <v>776</v>
      </c>
      <c r="G2131">
        <v>1</v>
      </c>
      <c r="H2131">
        <v>2023</v>
      </c>
      <c r="I2131" t="s">
        <v>2246</v>
      </c>
    </row>
    <row r="2132" spans="1:9" x14ac:dyDescent="0.3">
      <c r="A2132" t="s">
        <v>10169</v>
      </c>
      <c r="B2132" t="s">
        <v>70</v>
      </c>
      <c r="C2132">
        <v>8989697390</v>
      </c>
      <c r="D2132" s="2">
        <v>1</v>
      </c>
      <c r="E2132" t="str">
        <f>"4574674200754034"</f>
        <v>4574674200754034</v>
      </c>
      <c r="F2132" t="str">
        <f>"249"</f>
        <v>249</v>
      </c>
      <c r="G2132">
        <v>1</v>
      </c>
      <c r="H2132">
        <v>2023</v>
      </c>
      <c r="I2132" t="s">
        <v>2247</v>
      </c>
    </row>
    <row r="2133" spans="1:9" x14ac:dyDescent="0.3">
      <c r="A2133" t="s">
        <v>10169</v>
      </c>
      <c r="B2133" t="s">
        <v>70</v>
      </c>
      <c r="C2133">
        <v>8989697390</v>
      </c>
      <c r="D2133" s="2">
        <v>1</v>
      </c>
      <c r="E2133" t="str">
        <f>"4574674200754000"</f>
        <v>4574674200754000</v>
      </c>
      <c r="F2133" t="str">
        <f>"794"</f>
        <v>794</v>
      </c>
      <c r="G2133">
        <v>1</v>
      </c>
      <c r="H2133">
        <v>2023</v>
      </c>
      <c r="I2133" t="s">
        <v>2248</v>
      </c>
    </row>
    <row r="2134" spans="1:9" x14ac:dyDescent="0.3">
      <c r="A2134" t="s">
        <v>10169</v>
      </c>
      <c r="B2134" t="s">
        <v>70</v>
      </c>
      <c r="C2134">
        <v>8989697390</v>
      </c>
      <c r="D2134" s="2">
        <v>1</v>
      </c>
      <c r="E2134" t="str">
        <f>"4574674200754042"</f>
        <v>4574674200754042</v>
      </c>
      <c r="F2134" t="str">
        <f>"005"</f>
        <v>005</v>
      </c>
      <c r="G2134">
        <v>1</v>
      </c>
      <c r="H2134">
        <v>2023</v>
      </c>
      <c r="I2134" t="s">
        <v>2249</v>
      </c>
    </row>
    <row r="2135" spans="1:9" x14ac:dyDescent="0.3">
      <c r="A2135" t="s">
        <v>10169</v>
      </c>
      <c r="B2135" t="s">
        <v>70</v>
      </c>
      <c r="C2135">
        <v>8989697390</v>
      </c>
      <c r="D2135" s="2">
        <v>1</v>
      </c>
      <c r="E2135" t="str">
        <f>"4574674200754315"</f>
        <v>4574674200754315</v>
      </c>
      <c r="F2135" t="str">
        <f>"038"</f>
        <v>038</v>
      </c>
      <c r="G2135">
        <v>1</v>
      </c>
      <c r="H2135">
        <v>2023</v>
      </c>
      <c r="I2135" t="s">
        <v>2250</v>
      </c>
    </row>
    <row r="2136" spans="1:9" x14ac:dyDescent="0.3">
      <c r="A2136" t="s">
        <v>10169</v>
      </c>
      <c r="B2136" t="s">
        <v>70</v>
      </c>
      <c r="C2136">
        <v>8989697390</v>
      </c>
      <c r="D2136" s="2">
        <v>1</v>
      </c>
      <c r="E2136" t="str">
        <f>"4574674200754331"</f>
        <v>4574674200754331</v>
      </c>
      <c r="F2136" t="str">
        <f>"722"</f>
        <v>722</v>
      </c>
      <c r="G2136">
        <v>1</v>
      </c>
      <c r="H2136">
        <v>2023</v>
      </c>
      <c r="I2136" t="s">
        <v>2251</v>
      </c>
    </row>
    <row r="2137" spans="1:9" x14ac:dyDescent="0.3">
      <c r="A2137" t="s">
        <v>10169</v>
      </c>
      <c r="B2137" t="s">
        <v>70</v>
      </c>
      <c r="C2137">
        <v>8989697390</v>
      </c>
      <c r="D2137" s="2">
        <v>1</v>
      </c>
      <c r="E2137" t="str">
        <f>"4574674200754075"</f>
        <v>4574674200754075</v>
      </c>
      <c r="F2137" t="str">
        <f>"716"</f>
        <v>716</v>
      </c>
      <c r="G2137">
        <v>1</v>
      </c>
      <c r="H2137">
        <v>2023</v>
      </c>
      <c r="I2137" t="s">
        <v>2252</v>
      </c>
    </row>
    <row r="2138" spans="1:9" x14ac:dyDescent="0.3">
      <c r="A2138" t="s">
        <v>10169</v>
      </c>
      <c r="B2138" t="s">
        <v>70</v>
      </c>
      <c r="C2138">
        <v>8989697390</v>
      </c>
      <c r="D2138" s="2">
        <v>1</v>
      </c>
      <c r="E2138" t="str">
        <f>"4574674200754091"</f>
        <v>4574674200754091</v>
      </c>
      <c r="F2138" t="str">
        <f>"745"</f>
        <v>745</v>
      </c>
      <c r="G2138">
        <v>1</v>
      </c>
      <c r="H2138">
        <v>2023</v>
      </c>
      <c r="I2138" t="s">
        <v>2253</v>
      </c>
    </row>
    <row r="2139" spans="1:9" x14ac:dyDescent="0.3">
      <c r="A2139" t="s">
        <v>10169</v>
      </c>
      <c r="B2139" t="s">
        <v>70</v>
      </c>
      <c r="C2139">
        <v>8989697390</v>
      </c>
      <c r="D2139" s="2">
        <v>1</v>
      </c>
      <c r="E2139" t="str">
        <f>"4574674200754141"</f>
        <v>4574674200754141</v>
      </c>
      <c r="F2139" t="str">
        <f>"211"</f>
        <v>211</v>
      </c>
      <c r="G2139">
        <v>1</v>
      </c>
      <c r="H2139">
        <v>2023</v>
      </c>
      <c r="I2139" t="s">
        <v>2254</v>
      </c>
    </row>
    <row r="2140" spans="1:9" x14ac:dyDescent="0.3">
      <c r="A2140" t="s">
        <v>10169</v>
      </c>
      <c r="B2140" t="s">
        <v>70</v>
      </c>
      <c r="C2140">
        <v>8989697390</v>
      </c>
      <c r="D2140" s="2">
        <v>1</v>
      </c>
      <c r="E2140" t="str">
        <f>"4574674200754158"</f>
        <v>4574674200754158</v>
      </c>
      <c r="F2140" t="str">
        <f>"800"</f>
        <v>800</v>
      </c>
      <c r="G2140">
        <v>1</v>
      </c>
      <c r="H2140">
        <v>2023</v>
      </c>
      <c r="I2140" t="s">
        <v>2255</v>
      </c>
    </row>
    <row r="2141" spans="1:9" x14ac:dyDescent="0.3">
      <c r="A2141" t="s">
        <v>10128</v>
      </c>
      <c r="B2141" t="s">
        <v>71</v>
      </c>
      <c r="C2141">
        <v>8989697390</v>
      </c>
      <c r="D2141" s="2">
        <v>1</v>
      </c>
      <c r="E2141" t="str">
        <f>"4574674200754166"</f>
        <v>4574674200754166</v>
      </c>
      <c r="F2141" t="str">
        <f>"457"</f>
        <v>457</v>
      </c>
      <c r="G2141">
        <v>1</v>
      </c>
      <c r="H2141">
        <v>2023</v>
      </c>
      <c r="I2141" t="s">
        <v>2256</v>
      </c>
    </row>
    <row r="2142" spans="1:9" x14ac:dyDescent="0.3">
      <c r="A2142" t="s">
        <v>10128</v>
      </c>
      <c r="B2142" t="s">
        <v>71</v>
      </c>
      <c r="C2142">
        <v>8989697390</v>
      </c>
      <c r="D2142" s="2">
        <v>1</v>
      </c>
      <c r="E2142" t="str">
        <f>"4574674200754422"</f>
        <v>4574674200754422</v>
      </c>
      <c r="F2142" t="str">
        <f>"616"</f>
        <v>616</v>
      </c>
      <c r="G2142">
        <v>1</v>
      </c>
      <c r="H2142">
        <v>2023</v>
      </c>
      <c r="I2142" t="s">
        <v>2257</v>
      </c>
    </row>
    <row r="2143" spans="1:9" x14ac:dyDescent="0.3">
      <c r="A2143" t="s">
        <v>10128</v>
      </c>
      <c r="B2143" t="s">
        <v>71</v>
      </c>
      <c r="C2143">
        <v>8989697390</v>
      </c>
      <c r="D2143" s="2">
        <v>1</v>
      </c>
      <c r="E2143" t="str">
        <f>"4574674200754448"</f>
        <v>4574674200754448</v>
      </c>
      <c r="F2143" t="str">
        <f>"715"</f>
        <v>715</v>
      </c>
      <c r="G2143">
        <v>1</v>
      </c>
      <c r="H2143">
        <v>2023</v>
      </c>
      <c r="I2143" t="s">
        <v>2258</v>
      </c>
    </row>
    <row r="2144" spans="1:9" x14ac:dyDescent="0.3">
      <c r="A2144" t="s">
        <v>10128</v>
      </c>
      <c r="B2144" t="s">
        <v>71</v>
      </c>
      <c r="C2144">
        <v>8989697390</v>
      </c>
      <c r="D2144" s="2">
        <v>1</v>
      </c>
      <c r="E2144" t="str">
        <f>"4574674200754661"</f>
        <v>4574674200754661</v>
      </c>
      <c r="F2144" t="str">
        <f>"927"</f>
        <v>927</v>
      </c>
      <c r="G2144">
        <v>1</v>
      </c>
      <c r="H2144">
        <v>2023</v>
      </c>
      <c r="I2144" t="s">
        <v>2259</v>
      </c>
    </row>
    <row r="2145" spans="1:9" x14ac:dyDescent="0.3">
      <c r="A2145" t="s">
        <v>10128</v>
      </c>
      <c r="B2145" t="s">
        <v>71</v>
      </c>
      <c r="C2145">
        <v>8989697390</v>
      </c>
      <c r="D2145" s="2">
        <v>1</v>
      </c>
      <c r="E2145" t="str">
        <f>"4574674200754190"</f>
        <v>4574674200754190</v>
      </c>
      <c r="F2145" t="str">
        <f>"562"</f>
        <v>562</v>
      </c>
      <c r="G2145">
        <v>1</v>
      </c>
      <c r="H2145">
        <v>2023</v>
      </c>
      <c r="I2145" t="s">
        <v>2260</v>
      </c>
    </row>
    <row r="2146" spans="1:9" x14ac:dyDescent="0.3">
      <c r="A2146" t="s">
        <v>10128</v>
      </c>
      <c r="B2146" t="s">
        <v>71</v>
      </c>
      <c r="C2146">
        <v>8989697390</v>
      </c>
      <c r="D2146" s="2">
        <v>1</v>
      </c>
      <c r="E2146" t="str">
        <f>"4574674200754646"</f>
        <v>4574674200754646</v>
      </c>
      <c r="F2146" t="str">
        <f>"997"</f>
        <v>997</v>
      </c>
      <c r="G2146">
        <v>1</v>
      </c>
      <c r="H2146">
        <v>2023</v>
      </c>
      <c r="I2146" t="s">
        <v>2261</v>
      </c>
    </row>
    <row r="2147" spans="1:9" x14ac:dyDescent="0.3">
      <c r="A2147" t="s">
        <v>10128</v>
      </c>
      <c r="B2147" t="s">
        <v>71</v>
      </c>
      <c r="C2147">
        <v>8989697390</v>
      </c>
      <c r="D2147" s="2">
        <v>1</v>
      </c>
      <c r="E2147" t="str">
        <f>"4574674200754604"</f>
        <v>4574674200754604</v>
      </c>
      <c r="F2147" t="str">
        <f>"382"</f>
        <v>382</v>
      </c>
      <c r="G2147">
        <v>1</v>
      </c>
      <c r="H2147">
        <v>2023</v>
      </c>
      <c r="I2147" t="s">
        <v>2262</v>
      </c>
    </row>
    <row r="2148" spans="1:9" x14ac:dyDescent="0.3">
      <c r="A2148" t="s">
        <v>10128</v>
      </c>
      <c r="B2148" t="s">
        <v>71</v>
      </c>
      <c r="C2148">
        <v>8989697390</v>
      </c>
      <c r="D2148" s="2">
        <v>1</v>
      </c>
      <c r="E2148" t="str">
        <f>"4574674200754687"</f>
        <v>4574674200754687</v>
      </c>
      <c r="F2148" t="str">
        <f>"871"</f>
        <v>871</v>
      </c>
      <c r="G2148">
        <v>1</v>
      </c>
      <c r="H2148">
        <v>2023</v>
      </c>
      <c r="I2148" t="s">
        <v>2263</v>
      </c>
    </row>
    <row r="2149" spans="1:9" x14ac:dyDescent="0.3">
      <c r="A2149" t="s">
        <v>10128</v>
      </c>
      <c r="B2149" t="s">
        <v>71</v>
      </c>
      <c r="C2149">
        <v>8989697390</v>
      </c>
      <c r="D2149" s="2">
        <v>1</v>
      </c>
      <c r="E2149" t="str">
        <f>"4574674200754554"</f>
        <v>4574674200754554</v>
      </c>
      <c r="F2149" t="str">
        <f>"973"</f>
        <v>973</v>
      </c>
      <c r="G2149">
        <v>1</v>
      </c>
      <c r="H2149">
        <v>2023</v>
      </c>
      <c r="I2149" t="s">
        <v>2264</v>
      </c>
    </row>
    <row r="2150" spans="1:9" x14ac:dyDescent="0.3">
      <c r="A2150" t="s">
        <v>10128</v>
      </c>
      <c r="B2150" t="s">
        <v>71</v>
      </c>
      <c r="C2150">
        <v>8989697390</v>
      </c>
      <c r="D2150" s="2">
        <v>1</v>
      </c>
      <c r="E2150" t="str">
        <f>"4574674200754836"</f>
        <v>4574674200754836</v>
      </c>
      <c r="F2150" t="str">
        <f>"181"</f>
        <v>181</v>
      </c>
      <c r="G2150">
        <v>1</v>
      </c>
      <c r="H2150">
        <v>2023</v>
      </c>
      <c r="I2150" t="s">
        <v>2265</v>
      </c>
    </row>
    <row r="2151" spans="1:9" x14ac:dyDescent="0.3">
      <c r="A2151" t="s">
        <v>10129</v>
      </c>
      <c r="B2151" t="s">
        <v>72</v>
      </c>
      <c r="C2151">
        <v>8989697390</v>
      </c>
      <c r="D2151" s="2">
        <v>1</v>
      </c>
      <c r="E2151" t="str">
        <f>"4574674200754711"</f>
        <v>4574674200754711</v>
      </c>
      <c r="F2151" t="str">
        <f>"860"</f>
        <v>860</v>
      </c>
      <c r="G2151">
        <v>1</v>
      </c>
      <c r="H2151">
        <v>2023</v>
      </c>
      <c r="I2151" t="s">
        <v>2266</v>
      </c>
    </row>
    <row r="2152" spans="1:9" x14ac:dyDescent="0.3">
      <c r="A2152" t="s">
        <v>10129</v>
      </c>
      <c r="B2152" t="s">
        <v>72</v>
      </c>
      <c r="C2152">
        <v>8989697390</v>
      </c>
      <c r="D2152" s="2">
        <v>1</v>
      </c>
      <c r="E2152" t="str">
        <f>"4574674200754729"</f>
        <v>4574674200754729</v>
      </c>
      <c r="F2152" t="str">
        <f>"838"</f>
        <v>838</v>
      </c>
      <c r="G2152">
        <v>1</v>
      </c>
      <c r="H2152">
        <v>2023</v>
      </c>
      <c r="I2152" t="s">
        <v>2267</v>
      </c>
    </row>
    <row r="2153" spans="1:9" x14ac:dyDescent="0.3">
      <c r="A2153" t="s">
        <v>10129</v>
      </c>
      <c r="B2153" t="s">
        <v>72</v>
      </c>
      <c r="C2153">
        <v>8989697390</v>
      </c>
      <c r="D2153" s="2">
        <v>1</v>
      </c>
      <c r="E2153" t="str">
        <f>"4574674200754737"</f>
        <v>4574674200754737</v>
      </c>
      <c r="F2153" t="str">
        <f>"252"</f>
        <v>252</v>
      </c>
      <c r="G2153">
        <v>1</v>
      </c>
      <c r="H2153">
        <v>2023</v>
      </c>
      <c r="I2153" t="s">
        <v>2268</v>
      </c>
    </row>
    <row r="2154" spans="1:9" x14ac:dyDescent="0.3">
      <c r="A2154" t="s">
        <v>10129</v>
      </c>
      <c r="B2154" t="s">
        <v>72</v>
      </c>
      <c r="C2154">
        <v>8989697390</v>
      </c>
      <c r="D2154" s="2">
        <v>1</v>
      </c>
      <c r="E2154" t="str">
        <f>"4574674200754869"</f>
        <v>4574674200754869</v>
      </c>
      <c r="F2154" t="str">
        <f>"050"</f>
        <v>050</v>
      </c>
      <c r="G2154">
        <v>1</v>
      </c>
      <c r="H2154">
        <v>2023</v>
      </c>
      <c r="I2154" t="s">
        <v>2269</v>
      </c>
    </row>
    <row r="2155" spans="1:9" x14ac:dyDescent="0.3">
      <c r="A2155" t="s">
        <v>10129</v>
      </c>
      <c r="B2155" t="s">
        <v>72</v>
      </c>
      <c r="C2155">
        <v>8989697390</v>
      </c>
      <c r="D2155" s="2">
        <v>1</v>
      </c>
      <c r="E2155" t="str">
        <f>"4574674200754794"</f>
        <v>4574674200754794</v>
      </c>
      <c r="F2155" t="str">
        <f>"214"</f>
        <v>214</v>
      </c>
      <c r="G2155">
        <v>1</v>
      </c>
      <c r="H2155">
        <v>2023</v>
      </c>
      <c r="I2155" t="s">
        <v>2270</v>
      </c>
    </row>
    <row r="2156" spans="1:9" x14ac:dyDescent="0.3">
      <c r="A2156" t="s">
        <v>10129</v>
      </c>
      <c r="B2156" t="s">
        <v>72</v>
      </c>
      <c r="C2156">
        <v>8989697390</v>
      </c>
      <c r="D2156" s="2">
        <v>1</v>
      </c>
      <c r="E2156" t="str">
        <f>"4574674200755007"</f>
        <v>4574674200755007</v>
      </c>
      <c r="F2156" t="str">
        <f>"389"</f>
        <v>389</v>
      </c>
      <c r="G2156">
        <v>1</v>
      </c>
      <c r="H2156">
        <v>2023</v>
      </c>
      <c r="I2156" t="s">
        <v>2271</v>
      </c>
    </row>
    <row r="2157" spans="1:9" x14ac:dyDescent="0.3">
      <c r="A2157" t="s">
        <v>10129</v>
      </c>
      <c r="B2157" t="s">
        <v>72</v>
      </c>
      <c r="C2157">
        <v>8989697390</v>
      </c>
      <c r="D2157" s="2">
        <v>1</v>
      </c>
      <c r="E2157" t="str">
        <f>"4574674200755031"</f>
        <v>4574674200755031</v>
      </c>
      <c r="F2157" t="str">
        <f>"572"</f>
        <v>572</v>
      </c>
      <c r="G2157">
        <v>1</v>
      </c>
      <c r="H2157">
        <v>2023</v>
      </c>
      <c r="I2157" t="s">
        <v>2272</v>
      </c>
    </row>
    <row r="2158" spans="1:9" x14ac:dyDescent="0.3">
      <c r="A2158" t="s">
        <v>10129</v>
      </c>
      <c r="B2158" t="s">
        <v>72</v>
      </c>
      <c r="C2158">
        <v>8989697390</v>
      </c>
      <c r="D2158" s="2">
        <v>1</v>
      </c>
      <c r="E2158" t="str">
        <f>"4574674200754943"</f>
        <v>4574674200754943</v>
      </c>
      <c r="F2158" t="str">
        <f>"045"</f>
        <v>045</v>
      </c>
      <c r="G2158">
        <v>1</v>
      </c>
      <c r="H2158">
        <v>2023</v>
      </c>
      <c r="I2158" t="s">
        <v>2273</v>
      </c>
    </row>
    <row r="2159" spans="1:9" x14ac:dyDescent="0.3">
      <c r="A2159" t="s">
        <v>10129</v>
      </c>
      <c r="B2159" t="s">
        <v>72</v>
      </c>
      <c r="C2159">
        <v>8989697390</v>
      </c>
      <c r="D2159" s="2">
        <v>1</v>
      </c>
      <c r="E2159" t="str">
        <f>"4574674200755056"</f>
        <v>4574674200755056</v>
      </c>
      <c r="F2159" t="str">
        <f>"617"</f>
        <v>617</v>
      </c>
      <c r="G2159">
        <v>1</v>
      </c>
      <c r="H2159">
        <v>2023</v>
      </c>
      <c r="I2159" t="s">
        <v>2274</v>
      </c>
    </row>
    <row r="2160" spans="1:9" x14ac:dyDescent="0.3">
      <c r="A2160" t="s">
        <v>10129</v>
      </c>
      <c r="B2160" t="s">
        <v>72</v>
      </c>
      <c r="C2160">
        <v>8989697390</v>
      </c>
      <c r="D2160" s="2">
        <v>1</v>
      </c>
      <c r="E2160" t="str">
        <f>"4574674200755064"</f>
        <v>4574674200755064</v>
      </c>
      <c r="F2160" t="str">
        <f>"113"</f>
        <v>113</v>
      </c>
      <c r="G2160">
        <v>1</v>
      </c>
      <c r="H2160">
        <v>2023</v>
      </c>
      <c r="I2160" t="s">
        <v>2275</v>
      </c>
    </row>
    <row r="2161" spans="1:9" x14ac:dyDescent="0.3">
      <c r="A2161" t="s">
        <v>10170</v>
      </c>
      <c r="B2161" t="s">
        <v>73</v>
      </c>
      <c r="C2161">
        <v>8989697390</v>
      </c>
      <c r="D2161" s="2">
        <v>1</v>
      </c>
      <c r="E2161" t="str">
        <f>"4574674200755072"</f>
        <v>4574674200755072</v>
      </c>
      <c r="F2161" t="str">
        <f>"835"</f>
        <v>835</v>
      </c>
      <c r="G2161">
        <v>1</v>
      </c>
      <c r="H2161">
        <v>2023</v>
      </c>
      <c r="I2161" t="s">
        <v>2276</v>
      </c>
    </row>
    <row r="2162" spans="1:9" x14ac:dyDescent="0.3">
      <c r="A2162" t="s">
        <v>10170</v>
      </c>
      <c r="B2162" t="s">
        <v>73</v>
      </c>
      <c r="C2162">
        <v>8989697390</v>
      </c>
      <c r="D2162" s="2">
        <v>1</v>
      </c>
      <c r="E2162" t="str">
        <f>"4574674200755239"</f>
        <v>4574674200755239</v>
      </c>
      <c r="F2162" t="str">
        <f>"945"</f>
        <v>945</v>
      </c>
      <c r="G2162">
        <v>1</v>
      </c>
      <c r="H2162">
        <v>2023</v>
      </c>
      <c r="I2162" t="s">
        <v>2277</v>
      </c>
    </row>
    <row r="2163" spans="1:9" x14ac:dyDescent="0.3">
      <c r="A2163" t="s">
        <v>10170</v>
      </c>
      <c r="B2163" t="s">
        <v>73</v>
      </c>
      <c r="C2163">
        <v>8989697390</v>
      </c>
      <c r="D2163" s="2">
        <v>1</v>
      </c>
      <c r="E2163" t="str">
        <f>"4574674200755247"</f>
        <v>4574674200755247</v>
      </c>
      <c r="F2163" t="str">
        <f>"569"</f>
        <v>569</v>
      </c>
      <c r="G2163">
        <v>1</v>
      </c>
      <c r="H2163">
        <v>2023</v>
      </c>
      <c r="I2163" t="s">
        <v>2278</v>
      </c>
    </row>
    <row r="2164" spans="1:9" x14ac:dyDescent="0.3">
      <c r="A2164" t="s">
        <v>10170</v>
      </c>
      <c r="B2164" t="s">
        <v>73</v>
      </c>
      <c r="C2164">
        <v>8989697390</v>
      </c>
      <c r="D2164" s="2">
        <v>1</v>
      </c>
      <c r="E2164" t="str">
        <f>"4574674200755122"</f>
        <v>4574674200755122</v>
      </c>
      <c r="F2164" t="str">
        <f>"663"</f>
        <v>663</v>
      </c>
      <c r="G2164">
        <v>1</v>
      </c>
      <c r="H2164">
        <v>2023</v>
      </c>
      <c r="I2164" t="s">
        <v>2279</v>
      </c>
    </row>
    <row r="2165" spans="1:9" x14ac:dyDescent="0.3">
      <c r="A2165" t="s">
        <v>10170</v>
      </c>
      <c r="B2165" t="s">
        <v>73</v>
      </c>
      <c r="C2165">
        <v>8989697390</v>
      </c>
      <c r="D2165" s="2">
        <v>1</v>
      </c>
      <c r="E2165" t="str">
        <f>"4574674200755163"</f>
        <v>4574674200755163</v>
      </c>
      <c r="F2165" t="str">
        <f>"266"</f>
        <v>266</v>
      </c>
      <c r="G2165">
        <v>1</v>
      </c>
      <c r="H2165">
        <v>2023</v>
      </c>
      <c r="I2165" t="s">
        <v>2280</v>
      </c>
    </row>
    <row r="2166" spans="1:9" x14ac:dyDescent="0.3">
      <c r="A2166" t="s">
        <v>10170</v>
      </c>
      <c r="B2166" t="s">
        <v>73</v>
      </c>
      <c r="C2166">
        <v>8989697390</v>
      </c>
      <c r="D2166" s="2">
        <v>1</v>
      </c>
      <c r="E2166" t="str">
        <f>"4574674200755171"</f>
        <v>4574674200755171</v>
      </c>
      <c r="F2166" t="str">
        <f>"758"</f>
        <v>758</v>
      </c>
      <c r="G2166">
        <v>1</v>
      </c>
      <c r="H2166">
        <v>2023</v>
      </c>
      <c r="I2166" t="s">
        <v>2281</v>
      </c>
    </row>
    <row r="2167" spans="1:9" x14ac:dyDescent="0.3">
      <c r="A2167" t="s">
        <v>10170</v>
      </c>
      <c r="B2167" t="s">
        <v>73</v>
      </c>
      <c r="C2167">
        <v>8989697390</v>
      </c>
      <c r="D2167" s="2">
        <v>1</v>
      </c>
      <c r="E2167" t="str">
        <f>"4574674200755197"</f>
        <v>4574674200755197</v>
      </c>
      <c r="F2167" t="str">
        <f>"713"</f>
        <v>713</v>
      </c>
      <c r="G2167">
        <v>1</v>
      </c>
      <c r="H2167">
        <v>2023</v>
      </c>
      <c r="I2167" t="s">
        <v>2282</v>
      </c>
    </row>
    <row r="2168" spans="1:9" x14ac:dyDescent="0.3">
      <c r="A2168" t="s">
        <v>10170</v>
      </c>
      <c r="B2168" t="s">
        <v>73</v>
      </c>
      <c r="C2168">
        <v>8989697390</v>
      </c>
      <c r="D2168" s="2">
        <v>1</v>
      </c>
      <c r="E2168" t="str">
        <f>"4574674200755403"</f>
        <v>4574674200755403</v>
      </c>
      <c r="F2168" t="str">
        <f>"019"</f>
        <v>019</v>
      </c>
      <c r="G2168">
        <v>1</v>
      </c>
      <c r="H2168">
        <v>2023</v>
      </c>
      <c r="I2168" t="s">
        <v>2283</v>
      </c>
    </row>
    <row r="2169" spans="1:9" x14ac:dyDescent="0.3">
      <c r="A2169" t="s">
        <v>10170</v>
      </c>
      <c r="B2169" t="s">
        <v>73</v>
      </c>
      <c r="C2169">
        <v>8989697390</v>
      </c>
      <c r="D2169" s="2">
        <v>1</v>
      </c>
      <c r="E2169" t="str">
        <f>"4574674200755361"</f>
        <v>4574674200755361</v>
      </c>
      <c r="F2169" t="str">
        <f>"170"</f>
        <v>170</v>
      </c>
      <c r="G2169">
        <v>1</v>
      </c>
      <c r="H2169">
        <v>2023</v>
      </c>
      <c r="I2169" t="s">
        <v>2284</v>
      </c>
    </row>
    <row r="2170" spans="1:9" x14ac:dyDescent="0.3">
      <c r="A2170" t="s">
        <v>10170</v>
      </c>
      <c r="B2170" t="s">
        <v>73</v>
      </c>
      <c r="C2170">
        <v>8989697390</v>
      </c>
      <c r="D2170" s="2">
        <v>1</v>
      </c>
      <c r="E2170" t="str">
        <f>"4574674200755601"</f>
        <v>4574674200755601</v>
      </c>
      <c r="F2170" t="str">
        <f>"400"</f>
        <v>400</v>
      </c>
      <c r="G2170">
        <v>1</v>
      </c>
      <c r="H2170">
        <v>2023</v>
      </c>
      <c r="I2170" t="s">
        <v>2285</v>
      </c>
    </row>
    <row r="2171" spans="1:9" x14ac:dyDescent="0.3">
      <c r="A2171" t="s">
        <v>10171</v>
      </c>
      <c r="B2171" t="s">
        <v>74</v>
      </c>
      <c r="C2171">
        <v>8989697390</v>
      </c>
      <c r="D2171" s="2">
        <v>1</v>
      </c>
      <c r="E2171" t="str">
        <f>"4574674200755445"</f>
        <v>4574674200755445</v>
      </c>
      <c r="F2171" t="str">
        <f>"887"</f>
        <v>887</v>
      </c>
      <c r="G2171">
        <v>1</v>
      </c>
      <c r="H2171">
        <v>2023</v>
      </c>
      <c r="I2171" t="s">
        <v>2286</v>
      </c>
    </row>
    <row r="2172" spans="1:9" x14ac:dyDescent="0.3">
      <c r="A2172" t="s">
        <v>10171</v>
      </c>
      <c r="B2172" t="s">
        <v>74</v>
      </c>
      <c r="C2172">
        <v>8989697390</v>
      </c>
      <c r="D2172" s="2">
        <v>1</v>
      </c>
      <c r="E2172" t="str">
        <f>"4574674200755478"</f>
        <v>4574674200755478</v>
      </c>
      <c r="F2172" t="str">
        <f>"729"</f>
        <v>729</v>
      </c>
      <c r="G2172">
        <v>1</v>
      </c>
      <c r="H2172">
        <v>2023</v>
      </c>
      <c r="I2172" t="s">
        <v>2287</v>
      </c>
    </row>
    <row r="2173" spans="1:9" x14ac:dyDescent="0.3">
      <c r="A2173" t="s">
        <v>10171</v>
      </c>
      <c r="B2173" t="s">
        <v>74</v>
      </c>
      <c r="C2173">
        <v>8989697390</v>
      </c>
      <c r="D2173" s="2">
        <v>1</v>
      </c>
      <c r="E2173" t="str">
        <f>"4574674200755536"</f>
        <v>4574674200755536</v>
      </c>
      <c r="F2173" t="str">
        <f>"423"</f>
        <v>423</v>
      </c>
      <c r="G2173">
        <v>1</v>
      </c>
      <c r="H2173">
        <v>2023</v>
      </c>
      <c r="I2173" t="s">
        <v>2288</v>
      </c>
    </row>
    <row r="2174" spans="1:9" x14ac:dyDescent="0.3">
      <c r="A2174" t="s">
        <v>10171</v>
      </c>
      <c r="B2174" t="s">
        <v>74</v>
      </c>
      <c r="C2174">
        <v>8989697390</v>
      </c>
      <c r="D2174" s="2">
        <v>1</v>
      </c>
      <c r="E2174" t="str">
        <f>"4574674200755510"</f>
        <v>4574674200755510</v>
      </c>
      <c r="F2174" t="str">
        <f>"957"</f>
        <v>957</v>
      </c>
      <c r="G2174">
        <v>1</v>
      </c>
      <c r="H2174">
        <v>2023</v>
      </c>
      <c r="I2174" t="s">
        <v>2289</v>
      </c>
    </row>
    <row r="2175" spans="1:9" x14ac:dyDescent="0.3">
      <c r="A2175" t="s">
        <v>10171</v>
      </c>
      <c r="B2175" t="s">
        <v>74</v>
      </c>
      <c r="C2175">
        <v>8989697390</v>
      </c>
      <c r="D2175" s="2">
        <v>1</v>
      </c>
      <c r="E2175" t="str">
        <f>"4574674200755502"</f>
        <v>4574674200755502</v>
      </c>
      <c r="F2175" t="str">
        <f>"049"</f>
        <v>049</v>
      </c>
      <c r="G2175">
        <v>1</v>
      </c>
      <c r="H2175">
        <v>2023</v>
      </c>
      <c r="I2175" t="s">
        <v>2290</v>
      </c>
    </row>
    <row r="2176" spans="1:9" x14ac:dyDescent="0.3">
      <c r="A2176" t="s">
        <v>10171</v>
      </c>
      <c r="B2176" t="s">
        <v>74</v>
      </c>
      <c r="C2176">
        <v>8989697390</v>
      </c>
      <c r="D2176" s="2">
        <v>1</v>
      </c>
      <c r="E2176" t="str">
        <f>"4574674200755684"</f>
        <v>4574674200755684</v>
      </c>
      <c r="F2176" t="str">
        <f>"823"</f>
        <v>823</v>
      </c>
      <c r="G2176">
        <v>1</v>
      </c>
      <c r="H2176">
        <v>2023</v>
      </c>
      <c r="I2176" t="s">
        <v>2291</v>
      </c>
    </row>
    <row r="2177" spans="1:9" x14ac:dyDescent="0.3">
      <c r="A2177" t="s">
        <v>10171</v>
      </c>
      <c r="B2177" t="s">
        <v>74</v>
      </c>
      <c r="C2177">
        <v>8989697390</v>
      </c>
      <c r="D2177" s="2">
        <v>1</v>
      </c>
      <c r="E2177" t="str">
        <f>"4574674200755734"</f>
        <v>4574674200755734</v>
      </c>
      <c r="F2177" t="str">
        <f>"710"</f>
        <v>710</v>
      </c>
      <c r="G2177">
        <v>1</v>
      </c>
      <c r="H2177">
        <v>2023</v>
      </c>
      <c r="I2177" t="s">
        <v>2292</v>
      </c>
    </row>
    <row r="2178" spans="1:9" x14ac:dyDescent="0.3">
      <c r="A2178" t="s">
        <v>10171</v>
      </c>
      <c r="B2178" t="s">
        <v>74</v>
      </c>
      <c r="C2178">
        <v>8989697390</v>
      </c>
      <c r="D2178" s="2">
        <v>1</v>
      </c>
      <c r="E2178" t="str">
        <f>"4574674200755585"</f>
        <v>4574674200755585</v>
      </c>
      <c r="F2178" t="str">
        <f>"491"</f>
        <v>491</v>
      </c>
      <c r="G2178">
        <v>1</v>
      </c>
      <c r="H2178">
        <v>2023</v>
      </c>
      <c r="I2178" t="s">
        <v>2293</v>
      </c>
    </row>
    <row r="2179" spans="1:9" x14ac:dyDescent="0.3">
      <c r="A2179" t="s">
        <v>10171</v>
      </c>
      <c r="B2179" t="s">
        <v>74</v>
      </c>
      <c r="C2179">
        <v>8989697390</v>
      </c>
      <c r="D2179" s="2">
        <v>1</v>
      </c>
      <c r="E2179" t="str">
        <f>"4574674200755569"</f>
        <v>4574674200755569</v>
      </c>
      <c r="F2179" t="str">
        <f>"681"</f>
        <v>681</v>
      </c>
      <c r="G2179">
        <v>1</v>
      </c>
      <c r="H2179">
        <v>2023</v>
      </c>
      <c r="I2179" t="s">
        <v>2294</v>
      </c>
    </row>
    <row r="2180" spans="1:9" x14ac:dyDescent="0.3">
      <c r="A2180" t="s">
        <v>10171</v>
      </c>
      <c r="B2180" t="s">
        <v>74</v>
      </c>
      <c r="C2180">
        <v>8989697390</v>
      </c>
      <c r="D2180" s="2">
        <v>1</v>
      </c>
      <c r="E2180" t="str">
        <f>"4574674200756054"</f>
        <v>4574674200756054</v>
      </c>
      <c r="F2180" t="str">
        <f>"470"</f>
        <v>470</v>
      </c>
      <c r="G2180">
        <v>1</v>
      </c>
      <c r="H2180">
        <v>2023</v>
      </c>
      <c r="I2180" t="s">
        <v>2295</v>
      </c>
    </row>
    <row r="2181" spans="1:9" x14ac:dyDescent="0.3">
      <c r="A2181" t="s">
        <v>10172</v>
      </c>
      <c r="B2181" t="s">
        <v>75</v>
      </c>
      <c r="C2181">
        <v>8989697390</v>
      </c>
      <c r="D2181" s="2">
        <v>1</v>
      </c>
      <c r="E2181" t="str">
        <f>"4574674200756021"</f>
        <v>4574674200756021</v>
      </c>
      <c r="F2181" t="str">
        <f>"027"</f>
        <v>027</v>
      </c>
      <c r="G2181">
        <v>1</v>
      </c>
      <c r="H2181">
        <v>2023</v>
      </c>
      <c r="I2181" t="s">
        <v>2296</v>
      </c>
    </row>
    <row r="2182" spans="1:9" x14ac:dyDescent="0.3">
      <c r="A2182" t="s">
        <v>10172</v>
      </c>
      <c r="B2182" t="s">
        <v>75</v>
      </c>
      <c r="C2182">
        <v>8989697390</v>
      </c>
      <c r="D2182" s="2">
        <v>1</v>
      </c>
      <c r="E2182" t="str">
        <f>"4574674200756047"</f>
        <v>4574674200756047</v>
      </c>
      <c r="F2182" t="str">
        <f>"893"</f>
        <v>893</v>
      </c>
      <c r="G2182">
        <v>1</v>
      </c>
      <c r="H2182">
        <v>2023</v>
      </c>
      <c r="I2182" t="s">
        <v>2297</v>
      </c>
    </row>
    <row r="2183" spans="1:9" x14ac:dyDescent="0.3">
      <c r="A2183" t="s">
        <v>10172</v>
      </c>
      <c r="B2183" t="s">
        <v>75</v>
      </c>
      <c r="C2183">
        <v>8989697390</v>
      </c>
      <c r="D2183" s="2">
        <v>1</v>
      </c>
      <c r="E2183" t="str">
        <f>"4574674200755841"</f>
        <v>4574674200755841</v>
      </c>
      <c r="F2183" t="str">
        <f>"100"</f>
        <v>100</v>
      </c>
      <c r="G2183">
        <v>1</v>
      </c>
      <c r="H2183">
        <v>2023</v>
      </c>
      <c r="I2183" t="s">
        <v>2298</v>
      </c>
    </row>
    <row r="2184" spans="1:9" x14ac:dyDescent="0.3">
      <c r="A2184" t="s">
        <v>10172</v>
      </c>
      <c r="B2184" t="s">
        <v>75</v>
      </c>
      <c r="C2184">
        <v>8989697390</v>
      </c>
      <c r="D2184" s="2">
        <v>1</v>
      </c>
      <c r="E2184" t="str">
        <f>"4574674200755858"</f>
        <v>4574674200755858</v>
      </c>
      <c r="F2184" t="str">
        <f>"626"</f>
        <v>626</v>
      </c>
      <c r="G2184">
        <v>1</v>
      </c>
      <c r="H2184">
        <v>2023</v>
      </c>
      <c r="I2184" t="s">
        <v>2299</v>
      </c>
    </row>
    <row r="2185" spans="1:9" x14ac:dyDescent="0.3">
      <c r="A2185" t="s">
        <v>10172</v>
      </c>
      <c r="B2185" t="s">
        <v>75</v>
      </c>
      <c r="C2185">
        <v>8989697390</v>
      </c>
      <c r="D2185" s="2">
        <v>1</v>
      </c>
      <c r="E2185" t="str">
        <f>"4574674200756146"</f>
        <v>4574674200756146</v>
      </c>
      <c r="F2185" t="str">
        <f>"445"</f>
        <v>445</v>
      </c>
      <c r="G2185">
        <v>1</v>
      </c>
      <c r="H2185">
        <v>2023</v>
      </c>
      <c r="I2185" t="s">
        <v>2300</v>
      </c>
    </row>
    <row r="2186" spans="1:9" x14ac:dyDescent="0.3">
      <c r="A2186" t="s">
        <v>10172</v>
      </c>
      <c r="B2186" t="s">
        <v>75</v>
      </c>
      <c r="C2186">
        <v>8989697390</v>
      </c>
      <c r="D2186" s="2">
        <v>1</v>
      </c>
      <c r="E2186" t="str">
        <f>"4574674200756112"</f>
        <v>4574674200756112</v>
      </c>
      <c r="F2186" t="str">
        <f>"784"</f>
        <v>784</v>
      </c>
      <c r="G2186">
        <v>1</v>
      </c>
      <c r="H2186">
        <v>2023</v>
      </c>
      <c r="I2186" t="s">
        <v>2301</v>
      </c>
    </row>
    <row r="2187" spans="1:9" x14ac:dyDescent="0.3">
      <c r="A2187" t="s">
        <v>10172</v>
      </c>
      <c r="B2187" t="s">
        <v>75</v>
      </c>
      <c r="C2187">
        <v>8989697390</v>
      </c>
      <c r="D2187" s="2">
        <v>1</v>
      </c>
      <c r="E2187" t="str">
        <f>"4574674200756138"</f>
        <v>4574674200756138</v>
      </c>
      <c r="F2187" t="str">
        <f>"697"</f>
        <v>697</v>
      </c>
      <c r="G2187">
        <v>1</v>
      </c>
      <c r="H2187">
        <v>2023</v>
      </c>
      <c r="I2187" t="s">
        <v>2302</v>
      </c>
    </row>
    <row r="2188" spans="1:9" x14ac:dyDescent="0.3">
      <c r="A2188" t="s">
        <v>10172</v>
      </c>
      <c r="B2188" t="s">
        <v>75</v>
      </c>
      <c r="C2188">
        <v>8989697390</v>
      </c>
      <c r="D2188" s="2">
        <v>1</v>
      </c>
      <c r="E2188" t="str">
        <f>"4574674200756104"</f>
        <v>4574674200756104</v>
      </c>
      <c r="F2188" t="str">
        <f>"961"</f>
        <v>961</v>
      </c>
      <c r="G2188">
        <v>1</v>
      </c>
      <c r="H2188">
        <v>2023</v>
      </c>
      <c r="I2188" t="s">
        <v>2303</v>
      </c>
    </row>
    <row r="2189" spans="1:9" x14ac:dyDescent="0.3">
      <c r="A2189" t="s">
        <v>10172</v>
      </c>
      <c r="B2189" t="s">
        <v>75</v>
      </c>
      <c r="C2189">
        <v>8989697390</v>
      </c>
      <c r="D2189" s="2">
        <v>1</v>
      </c>
      <c r="E2189" t="str">
        <f>"4574674200756179"</f>
        <v>4574674200756179</v>
      </c>
      <c r="F2189" t="str">
        <f>"670"</f>
        <v>670</v>
      </c>
      <c r="G2189">
        <v>1</v>
      </c>
      <c r="H2189">
        <v>2023</v>
      </c>
      <c r="I2189" t="s">
        <v>2304</v>
      </c>
    </row>
    <row r="2190" spans="1:9" x14ac:dyDescent="0.3">
      <c r="A2190" t="s">
        <v>10172</v>
      </c>
      <c r="B2190" t="s">
        <v>75</v>
      </c>
      <c r="C2190">
        <v>8989697390</v>
      </c>
      <c r="D2190" s="2">
        <v>1</v>
      </c>
      <c r="E2190" t="str">
        <f>"4574674200756237"</f>
        <v>4574674200756237</v>
      </c>
      <c r="F2190" t="str">
        <f>"874"</f>
        <v>874</v>
      </c>
      <c r="G2190">
        <v>1</v>
      </c>
      <c r="H2190">
        <v>2023</v>
      </c>
      <c r="I2190" t="s">
        <v>2305</v>
      </c>
    </row>
    <row r="2191" spans="1:9" x14ac:dyDescent="0.3">
      <c r="A2191" t="s">
        <v>10173</v>
      </c>
      <c r="B2191" t="s">
        <v>76</v>
      </c>
      <c r="C2191">
        <v>8989697390</v>
      </c>
      <c r="D2191" s="2">
        <v>1</v>
      </c>
      <c r="E2191" t="str">
        <f>"4574674200756203"</f>
        <v>4574674200756203</v>
      </c>
      <c r="F2191" t="str">
        <f>"013"</f>
        <v>013</v>
      </c>
      <c r="G2191">
        <v>1</v>
      </c>
      <c r="H2191">
        <v>2023</v>
      </c>
      <c r="I2191" t="s">
        <v>2306</v>
      </c>
    </row>
    <row r="2192" spans="1:9" x14ac:dyDescent="0.3">
      <c r="A2192" t="s">
        <v>10173</v>
      </c>
      <c r="B2192" t="s">
        <v>76</v>
      </c>
      <c r="C2192">
        <v>8989697390</v>
      </c>
      <c r="D2192" s="2">
        <v>1</v>
      </c>
      <c r="E2192" t="str">
        <f>"4574674200756427"</f>
        <v>4574674200756427</v>
      </c>
      <c r="F2192" t="str">
        <f>"020"</f>
        <v>020</v>
      </c>
      <c r="G2192">
        <v>1</v>
      </c>
      <c r="H2192">
        <v>2023</v>
      </c>
      <c r="I2192" t="s">
        <v>2307</v>
      </c>
    </row>
    <row r="2193" spans="1:9" x14ac:dyDescent="0.3">
      <c r="A2193" t="s">
        <v>10173</v>
      </c>
      <c r="B2193" t="s">
        <v>76</v>
      </c>
      <c r="C2193">
        <v>8989697390</v>
      </c>
      <c r="D2193" s="2">
        <v>1</v>
      </c>
      <c r="E2193" t="str">
        <f>"4574674200756419"</f>
        <v>4574674200756419</v>
      </c>
      <c r="F2193" t="str">
        <f>"232"</f>
        <v>232</v>
      </c>
      <c r="G2193">
        <v>1</v>
      </c>
      <c r="H2193">
        <v>2023</v>
      </c>
      <c r="I2193" t="s">
        <v>2308</v>
      </c>
    </row>
    <row r="2194" spans="1:9" x14ac:dyDescent="0.3">
      <c r="A2194" t="s">
        <v>10173</v>
      </c>
      <c r="B2194" t="s">
        <v>76</v>
      </c>
      <c r="C2194">
        <v>8989697390</v>
      </c>
      <c r="D2194" s="2">
        <v>1</v>
      </c>
      <c r="E2194" t="str">
        <f>"4574674200756450"</f>
        <v>4574674200756450</v>
      </c>
      <c r="F2194" t="str">
        <f>"902"</f>
        <v>902</v>
      </c>
      <c r="G2194">
        <v>1</v>
      </c>
      <c r="H2194">
        <v>2023</v>
      </c>
      <c r="I2194" t="s">
        <v>2309</v>
      </c>
    </row>
    <row r="2195" spans="1:9" x14ac:dyDescent="0.3">
      <c r="A2195" t="s">
        <v>10173</v>
      </c>
      <c r="B2195" t="s">
        <v>76</v>
      </c>
      <c r="C2195">
        <v>8989697390</v>
      </c>
      <c r="D2195" s="2">
        <v>1</v>
      </c>
      <c r="E2195" t="str">
        <f>"4574674200756484"</f>
        <v>4574674200756484</v>
      </c>
      <c r="F2195" t="str">
        <f>"802"</f>
        <v>802</v>
      </c>
      <c r="G2195">
        <v>1</v>
      </c>
      <c r="H2195">
        <v>2023</v>
      </c>
      <c r="I2195" t="s">
        <v>2310</v>
      </c>
    </row>
    <row r="2196" spans="1:9" x14ac:dyDescent="0.3">
      <c r="A2196" t="s">
        <v>10173</v>
      </c>
      <c r="B2196" t="s">
        <v>76</v>
      </c>
      <c r="C2196">
        <v>8989697390</v>
      </c>
      <c r="D2196" s="2">
        <v>1</v>
      </c>
      <c r="E2196" t="str">
        <f>"4574674200756492"</f>
        <v>4574674200756492</v>
      </c>
      <c r="F2196" t="str">
        <f>"609"</f>
        <v>609</v>
      </c>
      <c r="G2196">
        <v>1</v>
      </c>
      <c r="H2196">
        <v>2023</v>
      </c>
      <c r="I2196" t="s">
        <v>2311</v>
      </c>
    </row>
    <row r="2197" spans="1:9" x14ac:dyDescent="0.3">
      <c r="A2197" t="s">
        <v>10173</v>
      </c>
      <c r="B2197" t="s">
        <v>76</v>
      </c>
      <c r="C2197">
        <v>8989697390</v>
      </c>
      <c r="D2197" s="2">
        <v>1</v>
      </c>
      <c r="E2197" t="str">
        <f>"4574674200756369"</f>
        <v>4574674200756369</v>
      </c>
      <c r="F2197" t="str">
        <f>"748"</f>
        <v>748</v>
      </c>
      <c r="G2197">
        <v>1</v>
      </c>
      <c r="H2197">
        <v>2023</v>
      </c>
      <c r="I2197" t="s">
        <v>2312</v>
      </c>
    </row>
    <row r="2198" spans="1:9" x14ac:dyDescent="0.3">
      <c r="A2198" t="s">
        <v>10173</v>
      </c>
      <c r="B2198" t="s">
        <v>76</v>
      </c>
      <c r="C2198">
        <v>8989697390</v>
      </c>
      <c r="D2198" s="2">
        <v>1</v>
      </c>
      <c r="E2198" t="str">
        <f>"4574674200756377"</f>
        <v>4574674200756377</v>
      </c>
      <c r="F2198" t="str">
        <f>"860"</f>
        <v>860</v>
      </c>
      <c r="G2198">
        <v>1</v>
      </c>
      <c r="H2198">
        <v>2023</v>
      </c>
      <c r="I2198" t="s">
        <v>2313</v>
      </c>
    </row>
    <row r="2199" spans="1:9" x14ac:dyDescent="0.3">
      <c r="A2199" t="s">
        <v>10173</v>
      </c>
      <c r="B2199" t="s">
        <v>76</v>
      </c>
      <c r="C2199">
        <v>8989697390</v>
      </c>
      <c r="D2199" s="2">
        <v>1</v>
      </c>
      <c r="E2199" t="str">
        <f>"4574674200756534"</f>
        <v>4574674200756534</v>
      </c>
      <c r="F2199" t="str">
        <f>"332"</f>
        <v>332</v>
      </c>
      <c r="G2199">
        <v>1</v>
      </c>
      <c r="H2199">
        <v>2023</v>
      </c>
      <c r="I2199" t="s">
        <v>2314</v>
      </c>
    </row>
    <row r="2200" spans="1:9" x14ac:dyDescent="0.3">
      <c r="A2200" t="s">
        <v>10173</v>
      </c>
      <c r="B2200" t="s">
        <v>76</v>
      </c>
      <c r="C2200">
        <v>8989697390</v>
      </c>
      <c r="D2200" s="2">
        <v>1</v>
      </c>
      <c r="E2200" t="str">
        <f>"4574674200756591"</f>
        <v>4574674200756591</v>
      </c>
      <c r="F2200" t="str">
        <f>"139"</f>
        <v>139</v>
      </c>
      <c r="G2200">
        <v>1</v>
      </c>
      <c r="H2200">
        <v>2023</v>
      </c>
      <c r="I2200" t="s">
        <v>2315</v>
      </c>
    </row>
    <row r="2201" spans="1:9" x14ac:dyDescent="0.3">
      <c r="A2201" t="s">
        <v>10146</v>
      </c>
      <c r="B2201" t="s">
        <v>61</v>
      </c>
      <c r="C2201">
        <v>8989697390</v>
      </c>
      <c r="D2201" s="2">
        <v>1</v>
      </c>
      <c r="E2201" t="str">
        <f>"4574674200756567"</f>
        <v>4574674200756567</v>
      </c>
      <c r="F2201" t="str">
        <f>"564"</f>
        <v>564</v>
      </c>
      <c r="G2201">
        <v>1</v>
      </c>
      <c r="H2201">
        <v>2023</v>
      </c>
      <c r="I2201" t="s">
        <v>2316</v>
      </c>
    </row>
    <row r="2202" spans="1:9" x14ac:dyDescent="0.3">
      <c r="A2202" t="s">
        <v>10146</v>
      </c>
      <c r="B2202" t="s">
        <v>61</v>
      </c>
      <c r="C2202">
        <v>8989697390</v>
      </c>
      <c r="D2202" s="2">
        <v>1</v>
      </c>
      <c r="E2202" t="str">
        <f>"4574674200756575"</f>
        <v>4574674200756575</v>
      </c>
      <c r="F2202" t="str">
        <f>"801"</f>
        <v>801</v>
      </c>
      <c r="G2202">
        <v>1</v>
      </c>
      <c r="H2202">
        <v>2023</v>
      </c>
      <c r="I2202" t="s">
        <v>2317</v>
      </c>
    </row>
    <row r="2203" spans="1:9" x14ac:dyDescent="0.3">
      <c r="A2203" t="s">
        <v>10146</v>
      </c>
      <c r="B2203" t="s">
        <v>61</v>
      </c>
      <c r="C2203">
        <v>8989697390</v>
      </c>
      <c r="D2203" s="2">
        <v>1</v>
      </c>
      <c r="E2203" t="str">
        <f>"4574674200756690"</f>
        <v>4574674200756690</v>
      </c>
      <c r="F2203" t="str">
        <f>"888"</f>
        <v>888</v>
      </c>
      <c r="G2203">
        <v>1</v>
      </c>
      <c r="H2203">
        <v>2023</v>
      </c>
      <c r="I2203" t="s">
        <v>2318</v>
      </c>
    </row>
    <row r="2204" spans="1:9" x14ac:dyDescent="0.3">
      <c r="A2204" t="s">
        <v>10146</v>
      </c>
      <c r="B2204" t="s">
        <v>61</v>
      </c>
      <c r="C2204">
        <v>8989697390</v>
      </c>
      <c r="D2204" s="2">
        <v>1</v>
      </c>
      <c r="E2204" t="str">
        <f>"4574674200756799"</f>
        <v>4574674200756799</v>
      </c>
      <c r="F2204" t="str">
        <f>"950"</f>
        <v>950</v>
      </c>
      <c r="G2204">
        <v>1</v>
      </c>
      <c r="H2204">
        <v>2023</v>
      </c>
      <c r="I2204" t="s">
        <v>2319</v>
      </c>
    </row>
    <row r="2205" spans="1:9" x14ac:dyDescent="0.3">
      <c r="A2205" t="s">
        <v>10146</v>
      </c>
      <c r="B2205" t="s">
        <v>61</v>
      </c>
      <c r="C2205">
        <v>8989697390</v>
      </c>
      <c r="D2205" s="2">
        <v>1</v>
      </c>
      <c r="E2205" t="str">
        <f>"4574674200756815"</f>
        <v>4574674200756815</v>
      </c>
      <c r="F2205" t="str">
        <f>"295"</f>
        <v>295</v>
      </c>
      <c r="G2205">
        <v>1</v>
      </c>
      <c r="H2205">
        <v>2023</v>
      </c>
      <c r="I2205" t="s">
        <v>2320</v>
      </c>
    </row>
    <row r="2206" spans="1:9" x14ac:dyDescent="0.3">
      <c r="A2206" t="s">
        <v>10146</v>
      </c>
      <c r="B2206" t="s">
        <v>61</v>
      </c>
      <c r="C2206">
        <v>8989697390</v>
      </c>
      <c r="D2206" s="2">
        <v>1</v>
      </c>
      <c r="E2206" t="str">
        <f>"4574674200756831"</f>
        <v>4574674200756831</v>
      </c>
      <c r="F2206" t="str">
        <f>"994"</f>
        <v>994</v>
      </c>
      <c r="G2206">
        <v>1</v>
      </c>
      <c r="H2206">
        <v>2023</v>
      </c>
      <c r="I2206" t="s">
        <v>2321</v>
      </c>
    </row>
    <row r="2207" spans="1:9" x14ac:dyDescent="0.3">
      <c r="A2207" t="s">
        <v>10146</v>
      </c>
      <c r="B2207" t="s">
        <v>61</v>
      </c>
      <c r="C2207">
        <v>8989697390</v>
      </c>
      <c r="D2207" s="2">
        <v>1</v>
      </c>
      <c r="E2207" t="str">
        <f>"4574674200756856"</f>
        <v>4574674200756856</v>
      </c>
      <c r="F2207" t="str">
        <f>"907"</f>
        <v>907</v>
      </c>
      <c r="G2207">
        <v>1</v>
      </c>
      <c r="H2207">
        <v>2023</v>
      </c>
      <c r="I2207" t="s">
        <v>2322</v>
      </c>
    </row>
    <row r="2208" spans="1:9" x14ac:dyDescent="0.3">
      <c r="A2208" t="s">
        <v>10146</v>
      </c>
      <c r="B2208" t="s">
        <v>61</v>
      </c>
      <c r="C2208">
        <v>8989697390</v>
      </c>
      <c r="D2208" s="2">
        <v>1</v>
      </c>
      <c r="E2208" t="str">
        <f>"4574674200756823"</f>
        <v>4574674200756823</v>
      </c>
      <c r="F2208" t="str">
        <f>"387"</f>
        <v>387</v>
      </c>
      <c r="G2208">
        <v>1</v>
      </c>
      <c r="H2208">
        <v>2023</v>
      </c>
      <c r="I2208" t="s">
        <v>2323</v>
      </c>
    </row>
    <row r="2209" spans="1:9" x14ac:dyDescent="0.3">
      <c r="A2209" t="s">
        <v>10146</v>
      </c>
      <c r="B2209" t="s">
        <v>61</v>
      </c>
      <c r="C2209">
        <v>8989697390</v>
      </c>
      <c r="D2209" s="2">
        <v>1</v>
      </c>
      <c r="E2209" t="str">
        <f>"4574674200756880"</f>
        <v>4574674200756880</v>
      </c>
      <c r="F2209" t="str">
        <f>"215"</f>
        <v>215</v>
      </c>
      <c r="G2209">
        <v>1</v>
      </c>
      <c r="H2209">
        <v>2023</v>
      </c>
      <c r="I2209" t="s">
        <v>2324</v>
      </c>
    </row>
    <row r="2210" spans="1:9" x14ac:dyDescent="0.3">
      <c r="A2210" t="s">
        <v>10146</v>
      </c>
      <c r="B2210" t="s">
        <v>61</v>
      </c>
      <c r="C2210">
        <v>8989697390</v>
      </c>
      <c r="D2210" s="2">
        <v>1</v>
      </c>
      <c r="E2210" t="str">
        <f>"4574674200756906"</f>
        <v>4574674200756906</v>
      </c>
      <c r="F2210" t="str">
        <f>"268"</f>
        <v>268</v>
      </c>
      <c r="G2210">
        <v>1</v>
      </c>
      <c r="H2210">
        <v>2023</v>
      </c>
      <c r="I2210" t="s">
        <v>2325</v>
      </c>
    </row>
    <row r="2211" spans="1:9" x14ac:dyDescent="0.3">
      <c r="A2211" t="s">
        <v>10174</v>
      </c>
      <c r="B2211" t="s">
        <v>77</v>
      </c>
      <c r="C2211">
        <v>8989697390</v>
      </c>
      <c r="D2211" s="2">
        <v>1</v>
      </c>
      <c r="E2211" t="str">
        <f>"4574674200757094"</f>
        <v>4574674200757094</v>
      </c>
      <c r="F2211" t="str">
        <f>"514"</f>
        <v>514</v>
      </c>
      <c r="G2211">
        <v>1</v>
      </c>
      <c r="H2211">
        <v>2023</v>
      </c>
      <c r="I2211" t="s">
        <v>2326</v>
      </c>
    </row>
    <row r="2212" spans="1:9" x14ac:dyDescent="0.3">
      <c r="A2212" t="s">
        <v>10174</v>
      </c>
      <c r="B2212" t="s">
        <v>77</v>
      </c>
      <c r="C2212">
        <v>8989697390</v>
      </c>
      <c r="D2212" s="2">
        <v>1</v>
      </c>
      <c r="E2212" t="str">
        <f>"4574674200757102"</f>
        <v>4574674200757102</v>
      </c>
      <c r="F2212" t="str">
        <f>"009"</f>
        <v>009</v>
      </c>
      <c r="G2212">
        <v>1</v>
      </c>
      <c r="H2212">
        <v>2023</v>
      </c>
      <c r="I2212" t="s">
        <v>2327</v>
      </c>
    </row>
    <row r="2213" spans="1:9" x14ac:dyDescent="0.3">
      <c r="A2213" t="s">
        <v>10174</v>
      </c>
      <c r="B2213" t="s">
        <v>77</v>
      </c>
      <c r="C2213">
        <v>8989697390</v>
      </c>
      <c r="D2213" s="2">
        <v>1</v>
      </c>
      <c r="E2213" t="str">
        <f>"4574674200756955"</f>
        <v>4574674200756955</v>
      </c>
      <c r="F2213" t="str">
        <f>"060"</f>
        <v>060</v>
      </c>
      <c r="G2213">
        <v>1</v>
      </c>
      <c r="H2213">
        <v>2023</v>
      </c>
      <c r="I2213" t="s">
        <v>2328</v>
      </c>
    </row>
    <row r="2214" spans="1:9" x14ac:dyDescent="0.3">
      <c r="A2214" t="s">
        <v>10174</v>
      </c>
      <c r="B2214" t="s">
        <v>77</v>
      </c>
      <c r="C2214">
        <v>8989697390</v>
      </c>
      <c r="D2214" s="2">
        <v>1</v>
      </c>
      <c r="E2214" t="str">
        <f>"4574674200756997"</f>
        <v>4574674200756997</v>
      </c>
      <c r="F2214" t="str">
        <f>"094"</f>
        <v>094</v>
      </c>
      <c r="G2214">
        <v>1</v>
      </c>
      <c r="H2214">
        <v>2023</v>
      </c>
      <c r="I2214" t="s">
        <v>2329</v>
      </c>
    </row>
    <row r="2215" spans="1:9" x14ac:dyDescent="0.3">
      <c r="A2215" t="s">
        <v>10174</v>
      </c>
      <c r="B2215" t="s">
        <v>77</v>
      </c>
      <c r="C2215">
        <v>8989697390</v>
      </c>
      <c r="D2215" s="2">
        <v>1</v>
      </c>
      <c r="E2215" t="str">
        <f>"4574674200756971"</f>
        <v>4574674200756971</v>
      </c>
      <c r="F2215" t="str">
        <f>"032"</f>
        <v>032</v>
      </c>
      <c r="G2215">
        <v>1</v>
      </c>
      <c r="H2215">
        <v>2023</v>
      </c>
      <c r="I2215" t="s">
        <v>2330</v>
      </c>
    </row>
    <row r="2216" spans="1:9" x14ac:dyDescent="0.3">
      <c r="A2216" t="s">
        <v>10174</v>
      </c>
      <c r="B2216" t="s">
        <v>77</v>
      </c>
      <c r="C2216">
        <v>8989697390</v>
      </c>
      <c r="D2216" s="2">
        <v>1</v>
      </c>
      <c r="E2216" t="str">
        <f>"4574674200757219"</f>
        <v>4574674200757219</v>
      </c>
      <c r="F2216" t="str">
        <f>"939"</f>
        <v>939</v>
      </c>
      <c r="G2216">
        <v>1</v>
      </c>
      <c r="H2216">
        <v>2023</v>
      </c>
      <c r="I2216" t="s">
        <v>2331</v>
      </c>
    </row>
    <row r="2217" spans="1:9" x14ac:dyDescent="0.3">
      <c r="A2217" t="s">
        <v>10174</v>
      </c>
      <c r="B2217" t="s">
        <v>77</v>
      </c>
      <c r="C2217">
        <v>8989697390</v>
      </c>
      <c r="D2217" s="2">
        <v>1</v>
      </c>
      <c r="E2217" t="str">
        <f>"4574674200757409"</f>
        <v>4574674200757409</v>
      </c>
      <c r="F2217" t="str">
        <f>"260"</f>
        <v>260</v>
      </c>
      <c r="G2217">
        <v>1</v>
      </c>
      <c r="H2217">
        <v>2023</v>
      </c>
      <c r="I2217" t="s">
        <v>2332</v>
      </c>
    </row>
    <row r="2218" spans="1:9" x14ac:dyDescent="0.3">
      <c r="A2218" t="s">
        <v>10174</v>
      </c>
      <c r="B2218" t="s">
        <v>77</v>
      </c>
      <c r="C2218">
        <v>8989697390</v>
      </c>
      <c r="D2218" s="2">
        <v>1</v>
      </c>
      <c r="E2218" t="str">
        <f>"4574674200757250"</f>
        <v>4574674200757250</v>
      </c>
      <c r="F2218" t="str">
        <f>"651"</f>
        <v>651</v>
      </c>
      <c r="G2218">
        <v>1</v>
      </c>
      <c r="H2218">
        <v>2023</v>
      </c>
      <c r="I2218" t="s">
        <v>2333</v>
      </c>
    </row>
    <row r="2219" spans="1:9" x14ac:dyDescent="0.3">
      <c r="A2219" t="s">
        <v>10174</v>
      </c>
      <c r="B2219" t="s">
        <v>77</v>
      </c>
      <c r="C2219">
        <v>8989697390</v>
      </c>
      <c r="D2219" s="2">
        <v>1</v>
      </c>
      <c r="E2219" t="str">
        <f>"4574674200757268"</f>
        <v>4574674200757268</v>
      </c>
      <c r="F2219" t="str">
        <f>"746"</f>
        <v>746</v>
      </c>
      <c r="G2219">
        <v>1</v>
      </c>
      <c r="H2219">
        <v>2023</v>
      </c>
      <c r="I2219" t="s">
        <v>2334</v>
      </c>
    </row>
    <row r="2220" spans="1:9" x14ac:dyDescent="0.3">
      <c r="A2220" t="s">
        <v>10174</v>
      </c>
      <c r="B2220" t="s">
        <v>77</v>
      </c>
      <c r="C2220">
        <v>8989697390</v>
      </c>
      <c r="D2220" s="2">
        <v>1</v>
      </c>
      <c r="E2220" t="str">
        <f>"4574674200757284"</f>
        <v>4574674200757284</v>
      </c>
      <c r="F2220" t="str">
        <f>"886"</f>
        <v>886</v>
      </c>
      <c r="G2220">
        <v>1</v>
      </c>
      <c r="H2220">
        <v>2023</v>
      </c>
      <c r="I2220" t="s">
        <v>2335</v>
      </c>
    </row>
    <row r="2221" spans="1:9" x14ac:dyDescent="0.3">
      <c r="A2221" t="s">
        <v>10163</v>
      </c>
      <c r="B2221" t="s">
        <v>57</v>
      </c>
      <c r="C2221">
        <v>8989697390</v>
      </c>
      <c r="D2221" s="2">
        <v>1</v>
      </c>
      <c r="E2221" t="str">
        <f>"4574674200757292"</f>
        <v>4574674200757292</v>
      </c>
      <c r="F2221" t="str">
        <f>"818"</f>
        <v>818</v>
      </c>
      <c r="G2221">
        <v>1</v>
      </c>
      <c r="H2221">
        <v>2023</v>
      </c>
      <c r="I2221" t="s">
        <v>2336</v>
      </c>
    </row>
    <row r="2222" spans="1:9" x14ac:dyDescent="0.3">
      <c r="A2222" t="s">
        <v>10163</v>
      </c>
      <c r="B2222" t="s">
        <v>57</v>
      </c>
      <c r="C2222">
        <v>8989697390</v>
      </c>
      <c r="D2222" s="2">
        <v>1</v>
      </c>
      <c r="E2222" t="str">
        <f>"4574674200757334"</f>
        <v>4574674200757334</v>
      </c>
      <c r="F2222" t="str">
        <f>"407"</f>
        <v>407</v>
      </c>
      <c r="G2222">
        <v>1</v>
      </c>
      <c r="H2222">
        <v>2023</v>
      </c>
      <c r="I2222" t="s">
        <v>2337</v>
      </c>
    </row>
    <row r="2223" spans="1:9" x14ac:dyDescent="0.3">
      <c r="A2223" t="s">
        <v>10163</v>
      </c>
      <c r="B2223" t="s">
        <v>57</v>
      </c>
      <c r="C2223">
        <v>8989697390</v>
      </c>
      <c r="D2223" s="2">
        <v>1</v>
      </c>
      <c r="E2223" t="str">
        <f>"4574674200757821"</f>
        <v>4574674200757821</v>
      </c>
      <c r="F2223" t="str">
        <f>"834"</f>
        <v>834</v>
      </c>
      <c r="G2223">
        <v>1</v>
      </c>
      <c r="H2223">
        <v>2023</v>
      </c>
      <c r="I2223" t="s">
        <v>2338</v>
      </c>
    </row>
    <row r="2224" spans="1:9" x14ac:dyDescent="0.3">
      <c r="A2224" t="s">
        <v>10163</v>
      </c>
      <c r="B2224" t="s">
        <v>57</v>
      </c>
      <c r="C2224">
        <v>8989697390</v>
      </c>
      <c r="D2224" s="2">
        <v>1</v>
      </c>
      <c r="E2224" t="str">
        <f>"4574674200757391"</f>
        <v>4574674200757391</v>
      </c>
      <c r="F2224" t="str">
        <f>"901"</f>
        <v>901</v>
      </c>
      <c r="G2224">
        <v>1</v>
      </c>
      <c r="H2224">
        <v>2023</v>
      </c>
      <c r="I2224" t="s">
        <v>2339</v>
      </c>
    </row>
    <row r="2225" spans="1:9" x14ac:dyDescent="0.3">
      <c r="A2225" t="s">
        <v>10163</v>
      </c>
      <c r="B2225" t="s">
        <v>57</v>
      </c>
      <c r="C2225">
        <v>8989697390</v>
      </c>
      <c r="D2225" s="2">
        <v>1</v>
      </c>
      <c r="E2225" t="str">
        <f>"4574674200757813"</f>
        <v>4574674200757813</v>
      </c>
      <c r="F2225" t="str">
        <f>"847"</f>
        <v>847</v>
      </c>
      <c r="G2225">
        <v>1</v>
      </c>
      <c r="H2225">
        <v>2023</v>
      </c>
      <c r="I2225" t="s">
        <v>2340</v>
      </c>
    </row>
    <row r="2226" spans="1:9" x14ac:dyDescent="0.3">
      <c r="A2226" t="s">
        <v>10163</v>
      </c>
      <c r="B2226" t="s">
        <v>57</v>
      </c>
      <c r="C2226">
        <v>8989697390</v>
      </c>
      <c r="D2226" s="2">
        <v>1</v>
      </c>
      <c r="E2226" t="str">
        <f>"4574674200757839"</f>
        <v>4574674200757839</v>
      </c>
      <c r="F2226" t="str">
        <f>"501"</f>
        <v>501</v>
      </c>
      <c r="G2226">
        <v>1</v>
      </c>
      <c r="H2226">
        <v>2023</v>
      </c>
      <c r="I2226" t="s">
        <v>2341</v>
      </c>
    </row>
    <row r="2227" spans="1:9" x14ac:dyDescent="0.3">
      <c r="A2227" t="s">
        <v>10163</v>
      </c>
      <c r="B2227" t="s">
        <v>57</v>
      </c>
      <c r="C2227">
        <v>8989697390</v>
      </c>
      <c r="D2227" s="2">
        <v>1</v>
      </c>
      <c r="E2227" t="str">
        <f>"4574674200757680"</f>
        <v>4574674200757680</v>
      </c>
      <c r="F2227" t="str">
        <f>"163"</f>
        <v>163</v>
      </c>
      <c r="G2227">
        <v>1</v>
      </c>
      <c r="H2227">
        <v>2023</v>
      </c>
      <c r="I2227" t="s">
        <v>2342</v>
      </c>
    </row>
    <row r="2228" spans="1:9" x14ac:dyDescent="0.3">
      <c r="A2228" t="s">
        <v>10163</v>
      </c>
      <c r="B2228" t="s">
        <v>57</v>
      </c>
      <c r="C2228">
        <v>8989697390</v>
      </c>
      <c r="D2228" s="2">
        <v>1</v>
      </c>
      <c r="E2228" t="str">
        <f>"4574674200757847"</f>
        <v>4574674200757847</v>
      </c>
      <c r="F2228" t="str">
        <f>"576"</f>
        <v>576</v>
      </c>
      <c r="G2228">
        <v>1</v>
      </c>
      <c r="H2228">
        <v>2023</v>
      </c>
      <c r="I2228" t="s">
        <v>2343</v>
      </c>
    </row>
    <row r="2229" spans="1:9" x14ac:dyDescent="0.3">
      <c r="A2229" t="s">
        <v>10163</v>
      </c>
      <c r="B2229" t="s">
        <v>57</v>
      </c>
      <c r="C2229">
        <v>8989697390</v>
      </c>
      <c r="D2229" s="2">
        <v>1</v>
      </c>
      <c r="E2229" t="str">
        <f>"4574674200757763"</f>
        <v>4574674200757763</v>
      </c>
      <c r="F2229" t="str">
        <f>"495"</f>
        <v>495</v>
      </c>
      <c r="G2229">
        <v>1</v>
      </c>
      <c r="H2229">
        <v>2023</v>
      </c>
      <c r="I2229" t="s">
        <v>2344</v>
      </c>
    </row>
    <row r="2230" spans="1:9" x14ac:dyDescent="0.3">
      <c r="A2230" t="s">
        <v>10163</v>
      </c>
      <c r="B2230" t="s">
        <v>57</v>
      </c>
      <c r="C2230">
        <v>8989697390</v>
      </c>
      <c r="D2230" s="2">
        <v>1</v>
      </c>
      <c r="E2230" t="str">
        <f>"4574674200757912"</f>
        <v>4574674200757912</v>
      </c>
      <c r="F2230" t="str">
        <f>"032"</f>
        <v>032</v>
      </c>
      <c r="G2230">
        <v>1</v>
      </c>
      <c r="H2230">
        <v>2023</v>
      </c>
      <c r="I2230" t="s">
        <v>2345</v>
      </c>
    </row>
    <row r="2231" spans="1:9" x14ac:dyDescent="0.3">
      <c r="A2231" t="s">
        <v>10173</v>
      </c>
      <c r="B2231" t="s">
        <v>76</v>
      </c>
      <c r="C2231">
        <v>8989697390</v>
      </c>
      <c r="D2231" s="2">
        <v>1</v>
      </c>
      <c r="E2231" t="str">
        <f>"4574674200757920"</f>
        <v>4574674200757920</v>
      </c>
      <c r="F2231" t="str">
        <f>"977"</f>
        <v>977</v>
      </c>
      <c r="G2231">
        <v>1</v>
      </c>
      <c r="H2231">
        <v>2023</v>
      </c>
      <c r="I2231" t="s">
        <v>2346</v>
      </c>
    </row>
    <row r="2232" spans="1:9" x14ac:dyDescent="0.3">
      <c r="A2232" t="s">
        <v>10173</v>
      </c>
      <c r="B2232" t="s">
        <v>76</v>
      </c>
      <c r="C2232">
        <v>8989697390</v>
      </c>
      <c r="D2232" s="2">
        <v>1</v>
      </c>
      <c r="E2232" t="str">
        <f>"4574674200757938"</f>
        <v>4574674200757938</v>
      </c>
      <c r="F2232" t="str">
        <f>"645"</f>
        <v>645</v>
      </c>
      <c r="G2232">
        <v>1</v>
      </c>
      <c r="H2232">
        <v>2023</v>
      </c>
      <c r="I2232" t="s">
        <v>2347</v>
      </c>
    </row>
    <row r="2233" spans="1:9" x14ac:dyDescent="0.3">
      <c r="A2233" t="s">
        <v>10173</v>
      </c>
      <c r="B2233" t="s">
        <v>76</v>
      </c>
      <c r="C2233">
        <v>8989697390</v>
      </c>
      <c r="D2233" s="2">
        <v>1</v>
      </c>
      <c r="E2233" t="str">
        <f>"4574674200758118"</f>
        <v>4574674200758118</v>
      </c>
      <c r="F2233" t="str">
        <f>"863"</f>
        <v>863</v>
      </c>
      <c r="G2233">
        <v>1</v>
      </c>
      <c r="H2233">
        <v>2023</v>
      </c>
      <c r="I2233" t="s">
        <v>2348</v>
      </c>
    </row>
    <row r="2234" spans="1:9" x14ac:dyDescent="0.3">
      <c r="A2234" t="s">
        <v>10173</v>
      </c>
      <c r="B2234" t="s">
        <v>76</v>
      </c>
      <c r="C2234">
        <v>8989697390</v>
      </c>
      <c r="D2234" s="2">
        <v>1</v>
      </c>
      <c r="E2234" t="str">
        <f>"4574674200758134"</f>
        <v>4574674200758134</v>
      </c>
      <c r="F2234" t="str">
        <f>"669"</f>
        <v>669</v>
      </c>
      <c r="G2234">
        <v>1</v>
      </c>
      <c r="H2234">
        <v>2023</v>
      </c>
      <c r="I2234" t="s">
        <v>2349</v>
      </c>
    </row>
    <row r="2235" spans="1:9" x14ac:dyDescent="0.3">
      <c r="A2235" t="s">
        <v>10173</v>
      </c>
      <c r="B2235" t="s">
        <v>76</v>
      </c>
      <c r="C2235">
        <v>8989697390</v>
      </c>
      <c r="D2235" s="2">
        <v>1</v>
      </c>
      <c r="E2235" t="str">
        <f>"4574674200757953"</f>
        <v>4574674200757953</v>
      </c>
      <c r="F2235" t="str">
        <f>"490"</f>
        <v>490</v>
      </c>
      <c r="G2235">
        <v>1</v>
      </c>
      <c r="H2235">
        <v>2023</v>
      </c>
      <c r="I2235" t="s">
        <v>2350</v>
      </c>
    </row>
    <row r="2236" spans="1:9" x14ac:dyDescent="0.3">
      <c r="A2236" t="s">
        <v>10173</v>
      </c>
      <c r="B2236" t="s">
        <v>76</v>
      </c>
      <c r="C2236">
        <v>8989697390</v>
      </c>
      <c r="D2236" s="2">
        <v>1</v>
      </c>
      <c r="E2236" t="str">
        <f>"4574674200757961"</f>
        <v>4574674200757961</v>
      </c>
      <c r="F2236" t="str">
        <f>"363"</f>
        <v>363</v>
      </c>
      <c r="G2236">
        <v>1</v>
      </c>
      <c r="H2236">
        <v>2023</v>
      </c>
      <c r="I2236" t="s">
        <v>2351</v>
      </c>
    </row>
    <row r="2237" spans="1:9" x14ac:dyDescent="0.3">
      <c r="A2237" t="s">
        <v>10173</v>
      </c>
      <c r="B2237" t="s">
        <v>76</v>
      </c>
      <c r="C2237">
        <v>8989697390</v>
      </c>
      <c r="D2237" s="2">
        <v>1</v>
      </c>
      <c r="E2237" t="str">
        <f>"4574674200758217"</f>
        <v>4574674200758217</v>
      </c>
      <c r="F2237" t="str">
        <f>"430"</f>
        <v>430</v>
      </c>
      <c r="G2237">
        <v>1</v>
      </c>
      <c r="H2237">
        <v>2023</v>
      </c>
      <c r="I2237" t="s">
        <v>2352</v>
      </c>
    </row>
    <row r="2238" spans="1:9" x14ac:dyDescent="0.3">
      <c r="A2238" t="s">
        <v>10173</v>
      </c>
      <c r="B2238" t="s">
        <v>76</v>
      </c>
      <c r="C2238">
        <v>8989697390</v>
      </c>
      <c r="D2238" s="2">
        <v>1</v>
      </c>
      <c r="E2238" t="str">
        <f>"4574674200758241"</f>
        <v>4574674200758241</v>
      </c>
      <c r="F2238" t="str">
        <f>"241"</f>
        <v>241</v>
      </c>
      <c r="G2238">
        <v>1</v>
      </c>
      <c r="H2238">
        <v>2023</v>
      </c>
      <c r="I2238" t="s">
        <v>2353</v>
      </c>
    </row>
    <row r="2239" spans="1:9" x14ac:dyDescent="0.3">
      <c r="A2239" t="s">
        <v>10173</v>
      </c>
      <c r="B2239" t="s">
        <v>76</v>
      </c>
      <c r="C2239">
        <v>8989697390</v>
      </c>
      <c r="D2239" s="2">
        <v>1</v>
      </c>
      <c r="E2239" t="str">
        <f>"4574674200758407"</f>
        <v>4574674200758407</v>
      </c>
      <c r="F2239" t="str">
        <f>"162"</f>
        <v>162</v>
      </c>
      <c r="G2239">
        <v>1</v>
      </c>
      <c r="H2239">
        <v>2023</v>
      </c>
      <c r="I2239" t="s">
        <v>2354</v>
      </c>
    </row>
    <row r="2240" spans="1:9" x14ac:dyDescent="0.3">
      <c r="A2240" t="s">
        <v>10173</v>
      </c>
      <c r="B2240" t="s">
        <v>76</v>
      </c>
      <c r="C2240">
        <v>8989697390</v>
      </c>
      <c r="D2240" s="2">
        <v>1</v>
      </c>
      <c r="E2240" t="str">
        <f>"4574674200758431"</f>
        <v>4574674200758431</v>
      </c>
      <c r="F2240" t="str">
        <f>"179"</f>
        <v>179</v>
      </c>
      <c r="G2240">
        <v>1</v>
      </c>
      <c r="H2240">
        <v>2023</v>
      </c>
      <c r="I2240" t="s">
        <v>2355</v>
      </c>
    </row>
    <row r="2241" spans="1:9" x14ac:dyDescent="0.3">
      <c r="A2241" t="s">
        <v>10175</v>
      </c>
      <c r="B2241" t="s">
        <v>78</v>
      </c>
      <c r="C2241">
        <v>8989697390</v>
      </c>
      <c r="D2241" s="2">
        <v>1</v>
      </c>
      <c r="E2241" t="str">
        <f>"4574674200758258"</f>
        <v>4574674200758258</v>
      </c>
      <c r="F2241" t="str">
        <f>"043"</f>
        <v>043</v>
      </c>
      <c r="G2241">
        <v>1</v>
      </c>
      <c r="H2241">
        <v>2023</v>
      </c>
      <c r="I2241" t="s">
        <v>2356</v>
      </c>
    </row>
    <row r="2242" spans="1:9" x14ac:dyDescent="0.3">
      <c r="A2242" t="s">
        <v>10175</v>
      </c>
      <c r="B2242" t="s">
        <v>78</v>
      </c>
      <c r="C2242">
        <v>8989697390</v>
      </c>
      <c r="D2242" s="2">
        <v>1</v>
      </c>
      <c r="E2242" t="str">
        <f>"4574674200758316"</f>
        <v>4574674200758316</v>
      </c>
      <c r="F2242" t="str">
        <f>"764"</f>
        <v>764</v>
      </c>
      <c r="G2242">
        <v>1</v>
      </c>
      <c r="H2242">
        <v>2023</v>
      </c>
      <c r="I2242" t="s">
        <v>2357</v>
      </c>
    </row>
    <row r="2243" spans="1:9" x14ac:dyDescent="0.3">
      <c r="A2243" t="s">
        <v>10175</v>
      </c>
      <c r="B2243" t="s">
        <v>78</v>
      </c>
      <c r="C2243">
        <v>8989697390</v>
      </c>
      <c r="D2243" s="2">
        <v>1</v>
      </c>
      <c r="E2243" t="str">
        <f>"4574674200758282"</f>
        <v>4574674200758282</v>
      </c>
      <c r="F2243" t="str">
        <f>"722"</f>
        <v>722</v>
      </c>
      <c r="G2243">
        <v>1</v>
      </c>
      <c r="H2243">
        <v>2023</v>
      </c>
      <c r="I2243" t="s">
        <v>2358</v>
      </c>
    </row>
    <row r="2244" spans="1:9" x14ac:dyDescent="0.3">
      <c r="A2244" t="s">
        <v>10175</v>
      </c>
      <c r="B2244" t="s">
        <v>78</v>
      </c>
      <c r="C2244">
        <v>8989697390</v>
      </c>
      <c r="D2244" s="2">
        <v>1</v>
      </c>
      <c r="E2244" t="str">
        <f>"4574674200758324"</f>
        <v>4574674200758324</v>
      </c>
      <c r="F2244" t="str">
        <f>"374"</f>
        <v>374</v>
      </c>
      <c r="G2244">
        <v>1</v>
      </c>
      <c r="H2244">
        <v>2023</v>
      </c>
      <c r="I2244" t="s">
        <v>2359</v>
      </c>
    </row>
    <row r="2245" spans="1:9" x14ac:dyDescent="0.3">
      <c r="A2245" t="s">
        <v>10175</v>
      </c>
      <c r="B2245" t="s">
        <v>78</v>
      </c>
      <c r="C2245">
        <v>8989697390</v>
      </c>
      <c r="D2245" s="2">
        <v>1</v>
      </c>
      <c r="E2245" t="str">
        <f>"4574674200758340"</f>
        <v>4574674200758340</v>
      </c>
      <c r="F2245" t="str">
        <f>"382"</f>
        <v>382</v>
      </c>
      <c r="G2245">
        <v>1</v>
      </c>
      <c r="H2245">
        <v>2023</v>
      </c>
      <c r="I2245" t="s">
        <v>2360</v>
      </c>
    </row>
    <row r="2246" spans="1:9" x14ac:dyDescent="0.3">
      <c r="A2246" t="s">
        <v>10175</v>
      </c>
      <c r="B2246" t="s">
        <v>78</v>
      </c>
      <c r="C2246">
        <v>8989697390</v>
      </c>
      <c r="D2246" s="2">
        <v>1</v>
      </c>
      <c r="E2246" t="str">
        <f>"4574674200758571"</f>
        <v>4574674200758571</v>
      </c>
      <c r="F2246" t="str">
        <f>"863"</f>
        <v>863</v>
      </c>
      <c r="G2246">
        <v>1</v>
      </c>
      <c r="H2246">
        <v>2023</v>
      </c>
      <c r="I2246" t="s">
        <v>2361</v>
      </c>
    </row>
    <row r="2247" spans="1:9" x14ac:dyDescent="0.3">
      <c r="A2247" t="s">
        <v>10175</v>
      </c>
      <c r="B2247" t="s">
        <v>78</v>
      </c>
      <c r="C2247">
        <v>8989697390</v>
      </c>
      <c r="D2247" s="2">
        <v>1</v>
      </c>
      <c r="E2247" t="str">
        <f>"4574674200758373"</f>
        <v>4574674200758373</v>
      </c>
      <c r="F2247" t="str">
        <f>"172"</f>
        <v>172</v>
      </c>
      <c r="G2247">
        <v>1</v>
      </c>
      <c r="H2247">
        <v>2023</v>
      </c>
      <c r="I2247" t="s">
        <v>2362</v>
      </c>
    </row>
    <row r="2248" spans="1:9" x14ac:dyDescent="0.3">
      <c r="A2248" t="s">
        <v>10175</v>
      </c>
      <c r="B2248" t="s">
        <v>78</v>
      </c>
      <c r="C2248">
        <v>8989697390</v>
      </c>
      <c r="D2248" s="2">
        <v>1</v>
      </c>
      <c r="E2248" t="str">
        <f>"4574674200758803"</f>
        <v>4574674200758803</v>
      </c>
      <c r="F2248" t="str">
        <f>"367"</f>
        <v>367</v>
      </c>
      <c r="G2248">
        <v>1</v>
      </c>
      <c r="H2248">
        <v>2023</v>
      </c>
      <c r="I2248" t="s">
        <v>2363</v>
      </c>
    </row>
    <row r="2249" spans="1:9" x14ac:dyDescent="0.3">
      <c r="A2249" t="s">
        <v>10175</v>
      </c>
      <c r="B2249" t="s">
        <v>78</v>
      </c>
      <c r="C2249">
        <v>8989697390</v>
      </c>
      <c r="D2249" s="2">
        <v>1</v>
      </c>
      <c r="E2249" t="str">
        <f>"4574674200758837"</f>
        <v>4574674200758837</v>
      </c>
      <c r="F2249" t="str">
        <f>"173"</f>
        <v>173</v>
      </c>
      <c r="G2249">
        <v>1</v>
      </c>
      <c r="H2249">
        <v>2023</v>
      </c>
      <c r="I2249" t="s">
        <v>2364</v>
      </c>
    </row>
    <row r="2250" spans="1:9" x14ac:dyDescent="0.3">
      <c r="A2250" t="s">
        <v>10175</v>
      </c>
      <c r="B2250" t="s">
        <v>78</v>
      </c>
      <c r="C2250">
        <v>8989697390</v>
      </c>
      <c r="D2250" s="2">
        <v>1</v>
      </c>
      <c r="E2250" t="str">
        <f>"4574674200758670"</f>
        <v>4574674200758670</v>
      </c>
      <c r="F2250" t="str">
        <f>"343"</f>
        <v>343</v>
      </c>
      <c r="G2250">
        <v>1</v>
      </c>
      <c r="H2250">
        <v>2023</v>
      </c>
      <c r="I2250" t="s">
        <v>2365</v>
      </c>
    </row>
    <row r="2251" spans="1:9" x14ac:dyDescent="0.3">
      <c r="A2251" t="s">
        <v>10168</v>
      </c>
      <c r="B2251" t="s">
        <v>69</v>
      </c>
      <c r="C2251">
        <v>8989697390</v>
      </c>
      <c r="D2251" s="2">
        <v>1</v>
      </c>
      <c r="E2251" t="str">
        <f>"4574674200758860"</f>
        <v>4574674200758860</v>
      </c>
      <c r="F2251" t="str">
        <f>"839"</f>
        <v>839</v>
      </c>
      <c r="G2251">
        <v>1</v>
      </c>
      <c r="H2251">
        <v>2023</v>
      </c>
      <c r="I2251" t="s">
        <v>2366</v>
      </c>
    </row>
    <row r="2252" spans="1:9" x14ac:dyDescent="0.3">
      <c r="A2252" t="s">
        <v>10168</v>
      </c>
      <c r="B2252" t="s">
        <v>69</v>
      </c>
      <c r="C2252">
        <v>8989697390</v>
      </c>
      <c r="D2252" s="2">
        <v>1</v>
      </c>
      <c r="E2252" t="str">
        <f>"4574674200758878"</f>
        <v>4574674200758878</v>
      </c>
      <c r="F2252" t="str">
        <f>"591"</f>
        <v>591</v>
      </c>
      <c r="G2252">
        <v>1</v>
      </c>
      <c r="H2252">
        <v>2023</v>
      </c>
      <c r="I2252" t="s">
        <v>2367</v>
      </c>
    </row>
    <row r="2253" spans="1:9" x14ac:dyDescent="0.3">
      <c r="A2253" t="s">
        <v>10168</v>
      </c>
      <c r="B2253" t="s">
        <v>69</v>
      </c>
      <c r="C2253">
        <v>8989697390</v>
      </c>
      <c r="D2253" s="2">
        <v>1</v>
      </c>
      <c r="E2253" t="str">
        <f>"4574674200758894"</f>
        <v>4574674200758894</v>
      </c>
      <c r="F2253" t="str">
        <f>"581"</f>
        <v>581</v>
      </c>
      <c r="G2253">
        <v>1</v>
      </c>
      <c r="H2253">
        <v>2023</v>
      </c>
      <c r="I2253" t="s">
        <v>2368</v>
      </c>
    </row>
    <row r="2254" spans="1:9" x14ac:dyDescent="0.3">
      <c r="A2254" t="s">
        <v>10168</v>
      </c>
      <c r="B2254" t="s">
        <v>69</v>
      </c>
      <c r="C2254">
        <v>8989697390</v>
      </c>
      <c r="D2254" s="2">
        <v>1</v>
      </c>
      <c r="E2254" t="str">
        <f>"4574674200758902"</f>
        <v>4574674200758902</v>
      </c>
      <c r="F2254" t="str">
        <f>"282"</f>
        <v>282</v>
      </c>
      <c r="G2254">
        <v>1</v>
      </c>
      <c r="H2254">
        <v>2023</v>
      </c>
      <c r="I2254" t="s">
        <v>2369</v>
      </c>
    </row>
    <row r="2255" spans="1:9" x14ac:dyDescent="0.3">
      <c r="A2255" t="s">
        <v>10168</v>
      </c>
      <c r="B2255" t="s">
        <v>69</v>
      </c>
      <c r="C2255">
        <v>8989697390</v>
      </c>
      <c r="D2255" s="2">
        <v>1</v>
      </c>
      <c r="E2255" t="str">
        <f>"4574674200758746"</f>
        <v>4574674200758746</v>
      </c>
      <c r="F2255" t="str">
        <f>"680"</f>
        <v>680</v>
      </c>
      <c r="G2255">
        <v>1</v>
      </c>
      <c r="H2255">
        <v>2023</v>
      </c>
      <c r="I2255" t="s">
        <v>2370</v>
      </c>
    </row>
    <row r="2256" spans="1:9" x14ac:dyDescent="0.3">
      <c r="A2256" t="s">
        <v>10168</v>
      </c>
      <c r="B2256" t="s">
        <v>69</v>
      </c>
      <c r="C2256">
        <v>8989697390</v>
      </c>
      <c r="D2256" s="2">
        <v>1</v>
      </c>
      <c r="E2256" t="str">
        <f>"4574674200758951"</f>
        <v>4574674200758951</v>
      </c>
      <c r="F2256" t="str">
        <f>"836"</f>
        <v>836</v>
      </c>
      <c r="G2256">
        <v>1</v>
      </c>
      <c r="H2256">
        <v>2023</v>
      </c>
      <c r="I2256" t="s">
        <v>2371</v>
      </c>
    </row>
    <row r="2257" spans="1:9" x14ac:dyDescent="0.3">
      <c r="A2257" t="s">
        <v>10168</v>
      </c>
      <c r="B2257" t="s">
        <v>69</v>
      </c>
      <c r="C2257">
        <v>8989697390</v>
      </c>
      <c r="D2257" s="2">
        <v>1</v>
      </c>
      <c r="E2257" t="str">
        <f>"4574674200758969"</f>
        <v>4574674200758969</v>
      </c>
      <c r="F2257" t="str">
        <f>"065"</f>
        <v>065</v>
      </c>
      <c r="G2257">
        <v>1</v>
      </c>
      <c r="H2257">
        <v>2023</v>
      </c>
      <c r="I2257" t="s">
        <v>2372</v>
      </c>
    </row>
    <row r="2258" spans="1:9" x14ac:dyDescent="0.3">
      <c r="A2258" t="s">
        <v>10168</v>
      </c>
      <c r="B2258" t="s">
        <v>69</v>
      </c>
      <c r="C2258">
        <v>8989697390</v>
      </c>
      <c r="D2258" s="2">
        <v>1</v>
      </c>
      <c r="E2258" t="str">
        <f>"4574674200758977"</f>
        <v>4574674200758977</v>
      </c>
      <c r="F2258" t="str">
        <f>"727"</f>
        <v>727</v>
      </c>
      <c r="G2258">
        <v>1</v>
      </c>
      <c r="H2258">
        <v>2023</v>
      </c>
      <c r="I2258" t="s">
        <v>2373</v>
      </c>
    </row>
    <row r="2259" spans="1:9" x14ac:dyDescent="0.3">
      <c r="A2259" t="s">
        <v>10168</v>
      </c>
      <c r="B2259" t="s">
        <v>69</v>
      </c>
      <c r="C2259">
        <v>8989697390</v>
      </c>
      <c r="D2259" s="2">
        <v>1</v>
      </c>
      <c r="E2259" t="str">
        <f>"4574674200758993"</f>
        <v>4574674200758993</v>
      </c>
      <c r="F2259" t="str">
        <f>"968"</f>
        <v>968</v>
      </c>
      <c r="G2259">
        <v>1</v>
      </c>
      <c r="H2259">
        <v>2023</v>
      </c>
      <c r="I2259" t="s">
        <v>2374</v>
      </c>
    </row>
    <row r="2260" spans="1:9" x14ac:dyDescent="0.3">
      <c r="A2260" t="s">
        <v>10168</v>
      </c>
      <c r="B2260" t="s">
        <v>69</v>
      </c>
      <c r="C2260">
        <v>8989697390</v>
      </c>
      <c r="D2260" s="2">
        <v>1</v>
      </c>
      <c r="E2260" t="str">
        <f>"4574674200759074"</f>
        <v>4574674200759074</v>
      </c>
      <c r="F2260" t="str">
        <f>"021"</f>
        <v>021</v>
      </c>
      <c r="G2260">
        <v>1</v>
      </c>
      <c r="H2260">
        <v>2023</v>
      </c>
      <c r="I2260" t="s">
        <v>2375</v>
      </c>
    </row>
    <row r="2261" spans="1:9" x14ac:dyDescent="0.3">
      <c r="A2261" t="s">
        <v>10124</v>
      </c>
      <c r="B2261" t="s">
        <v>79</v>
      </c>
      <c r="C2261">
        <v>8989697390</v>
      </c>
      <c r="D2261" s="2">
        <v>1</v>
      </c>
      <c r="E2261" t="str">
        <f>"4574674200759231"</f>
        <v>4574674200759231</v>
      </c>
      <c r="F2261" t="str">
        <f>"193"</f>
        <v>193</v>
      </c>
      <c r="G2261">
        <v>1</v>
      </c>
      <c r="H2261">
        <v>2023</v>
      </c>
      <c r="I2261" t="s">
        <v>2376</v>
      </c>
    </row>
    <row r="2262" spans="1:9" x14ac:dyDescent="0.3">
      <c r="A2262" t="s">
        <v>10124</v>
      </c>
      <c r="B2262" t="s">
        <v>79</v>
      </c>
      <c r="C2262">
        <v>8989697390</v>
      </c>
      <c r="D2262" s="2">
        <v>1</v>
      </c>
      <c r="E2262" t="str">
        <f>"4574674200759249"</f>
        <v>4574674200759249</v>
      </c>
      <c r="F2262" t="str">
        <f>"468"</f>
        <v>468</v>
      </c>
      <c r="G2262">
        <v>1</v>
      </c>
      <c r="H2262">
        <v>2023</v>
      </c>
      <c r="I2262" t="s">
        <v>2377</v>
      </c>
    </row>
    <row r="2263" spans="1:9" x14ac:dyDescent="0.3">
      <c r="A2263" t="s">
        <v>10124</v>
      </c>
      <c r="B2263" t="s">
        <v>79</v>
      </c>
      <c r="C2263">
        <v>8989697390</v>
      </c>
      <c r="D2263" s="2">
        <v>1</v>
      </c>
      <c r="E2263" t="str">
        <f>"4574674200759298"</f>
        <v>4574674200759298</v>
      </c>
      <c r="F2263" t="str">
        <f>"873"</f>
        <v>873</v>
      </c>
      <c r="G2263">
        <v>1</v>
      </c>
      <c r="H2263">
        <v>2023</v>
      </c>
      <c r="I2263" t="s">
        <v>2378</v>
      </c>
    </row>
    <row r="2264" spans="1:9" x14ac:dyDescent="0.3">
      <c r="A2264" t="s">
        <v>10124</v>
      </c>
      <c r="B2264" t="s">
        <v>79</v>
      </c>
      <c r="C2264">
        <v>8989697390</v>
      </c>
      <c r="D2264" s="2">
        <v>1</v>
      </c>
      <c r="E2264" t="str">
        <f>"4574674200759306"</f>
        <v>4574674200759306</v>
      </c>
      <c r="F2264" t="str">
        <f>"440"</f>
        <v>440</v>
      </c>
      <c r="G2264">
        <v>1</v>
      </c>
      <c r="H2264">
        <v>2023</v>
      </c>
      <c r="I2264" t="s">
        <v>2379</v>
      </c>
    </row>
    <row r="2265" spans="1:9" x14ac:dyDescent="0.3">
      <c r="A2265" t="s">
        <v>10124</v>
      </c>
      <c r="B2265" t="s">
        <v>79</v>
      </c>
      <c r="C2265">
        <v>8989697390</v>
      </c>
      <c r="D2265" s="2">
        <v>1</v>
      </c>
      <c r="E2265" t="str">
        <f>"4574674200759322"</f>
        <v>4574674200759322</v>
      </c>
      <c r="F2265" t="str">
        <f>"051"</f>
        <v>051</v>
      </c>
      <c r="G2265">
        <v>1</v>
      </c>
      <c r="H2265">
        <v>2023</v>
      </c>
      <c r="I2265" t="s">
        <v>2380</v>
      </c>
    </row>
    <row r="2266" spans="1:9" x14ac:dyDescent="0.3">
      <c r="A2266" t="s">
        <v>10124</v>
      </c>
      <c r="B2266" t="s">
        <v>79</v>
      </c>
      <c r="C2266">
        <v>8989697390</v>
      </c>
      <c r="D2266" s="2">
        <v>1</v>
      </c>
      <c r="E2266" t="str">
        <f>"4574674200759355"</f>
        <v>4574674200759355</v>
      </c>
      <c r="F2266" t="str">
        <f>"163"</f>
        <v>163</v>
      </c>
      <c r="G2266">
        <v>1</v>
      </c>
      <c r="H2266">
        <v>2023</v>
      </c>
      <c r="I2266" t="s">
        <v>2381</v>
      </c>
    </row>
    <row r="2267" spans="1:9" x14ac:dyDescent="0.3">
      <c r="A2267" t="s">
        <v>10124</v>
      </c>
      <c r="B2267" t="s">
        <v>79</v>
      </c>
      <c r="C2267">
        <v>8989697390</v>
      </c>
      <c r="D2267" s="2">
        <v>1</v>
      </c>
      <c r="E2267" t="str">
        <f>"4574674200759199"</f>
        <v>4574674200759199</v>
      </c>
      <c r="F2267" t="str">
        <f>"551"</f>
        <v>551</v>
      </c>
      <c r="G2267">
        <v>1</v>
      </c>
      <c r="H2267">
        <v>2023</v>
      </c>
      <c r="I2267" t="s">
        <v>2382</v>
      </c>
    </row>
    <row r="2268" spans="1:9" x14ac:dyDescent="0.3">
      <c r="A2268" t="s">
        <v>10124</v>
      </c>
      <c r="B2268" t="s">
        <v>79</v>
      </c>
      <c r="C2268">
        <v>8989697390</v>
      </c>
      <c r="D2268" s="2">
        <v>1</v>
      </c>
      <c r="E2268" t="str">
        <f>"4574674200759371"</f>
        <v>4574674200759371</v>
      </c>
      <c r="F2268" t="str">
        <f>"059"</f>
        <v>059</v>
      </c>
      <c r="G2268">
        <v>1</v>
      </c>
      <c r="H2268">
        <v>2023</v>
      </c>
      <c r="I2268" t="s">
        <v>2383</v>
      </c>
    </row>
    <row r="2269" spans="1:9" x14ac:dyDescent="0.3">
      <c r="A2269" t="s">
        <v>10124</v>
      </c>
      <c r="B2269" t="s">
        <v>79</v>
      </c>
      <c r="C2269">
        <v>8989697390</v>
      </c>
      <c r="D2269" s="2">
        <v>1</v>
      </c>
      <c r="E2269" t="str">
        <f>"4574674200759462"</f>
        <v>4574674200759462</v>
      </c>
      <c r="F2269" t="str">
        <f>"148"</f>
        <v>148</v>
      </c>
      <c r="G2269">
        <v>1</v>
      </c>
      <c r="H2269">
        <v>2023</v>
      </c>
      <c r="I2269" t="s">
        <v>2384</v>
      </c>
    </row>
    <row r="2270" spans="1:9" x14ac:dyDescent="0.3">
      <c r="A2270" t="s">
        <v>10124</v>
      </c>
      <c r="B2270" t="s">
        <v>79</v>
      </c>
      <c r="C2270">
        <v>8989697390</v>
      </c>
      <c r="D2270" s="2">
        <v>1</v>
      </c>
      <c r="E2270" t="str">
        <f>"4574674200759611"</f>
        <v>4574674200759611</v>
      </c>
      <c r="F2270" t="str">
        <f>"567"</f>
        <v>567</v>
      </c>
      <c r="G2270">
        <v>1</v>
      </c>
      <c r="H2270">
        <v>2023</v>
      </c>
      <c r="I2270" t="s">
        <v>2385</v>
      </c>
    </row>
    <row r="2271" spans="1:9" x14ac:dyDescent="0.3">
      <c r="A2271" t="s">
        <v>10125</v>
      </c>
      <c r="B2271" t="s">
        <v>80</v>
      </c>
      <c r="C2271">
        <v>8989697390</v>
      </c>
      <c r="D2271" s="2">
        <v>1</v>
      </c>
      <c r="E2271" t="str">
        <f>"4574674200759645"</f>
        <v>4574674200759645</v>
      </c>
      <c r="F2271" t="str">
        <f>"385"</f>
        <v>385</v>
      </c>
      <c r="G2271">
        <v>1</v>
      </c>
      <c r="H2271">
        <v>2023</v>
      </c>
      <c r="I2271" t="s">
        <v>2386</v>
      </c>
    </row>
    <row r="2272" spans="1:9" x14ac:dyDescent="0.3">
      <c r="A2272" t="s">
        <v>10125</v>
      </c>
      <c r="B2272" t="s">
        <v>80</v>
      </c>
      <c r="C2272">
        <v>8989697390</v>
      </c>
      <c r="D2272" s="2">
        <v>1</v>
      </c>
      <c r="E2272" t="str">
        <f>"4574674200759652"</f>
        <v>4574674200759652</v>
      </c>
      <c r="F2272" t="str">
        <f>"891"</f>
        <v>891</v>
      </c>
      <c r="G2272">
        <v>1</v>
      </c>
      <c r="H2272">
        <v>2023</v>
      </c>
      <c r="I2272" t="s">
        <v>2387</v>
      </c>
    </row>
    <row r="2273" spans="1:9" x14ac:dyDescent="0.3">
      <c r="A2273" t="s">
        <v>10125</v>
      </c>
      <c r="B2273" t="s">
        <v>80</v>
      </c>
      <c r="C2273">
        <v>8989697390</v>
      </c>
      <c r="D2273" s="2">
        <v>1</v>
      </c>
      <c r="E2273" t="str">
        <f>"4574674200759553"</f>
        <v>4574674200759553</v>
      </c>
      <c r="F2273" t="str">
        <f>"449"</f>
        <v>449</v>
      </c>
      <c r="G2273">
        <v>1</v>
      </c>
      <c r="H2273">
        <v>2023</v>
      </c>
      <c r="I2273" t="s">
        <v>2388</v>
      </c>
    </row>
    <row r="2274" spans="1:9" x14ac:dyDescent="0.3">
      <c r="A2274" t="s">
        <v>10125</v>
      </c>
      <c r="B2274" t="s">
        <v>80</v>
      </c>
      <c r="C2274">
        <v>8989697390</v>
      </c>
      <c r="D2274" s="2">
        <v>1</v>
      </c>
      <c r="E2274" t="str">
        <f>"4574674200759801"</f>
        <v>4574674200759801</v>
      </c>
      <c r="F2274" t="str">
        <f>"050"</f>
        <v>050</v>
      </c>
      <c r="G2274">
        <v>1</v>
      </c>
      <c r="H2274">
        <v>2023</v>
      </c>
      <c r="I2274" t="s">
        <v>2389</v>
      </c>
    </row>
    <row r="2275" spans="1:9" x14ac:dyDescent="0.3">
      <c r="A2275" t="s">
        <v>10125</v>
      </c>
      <c r="B2275" t="s">
        <v>80</v>
      </c>
      <c r="C2275">
        <v>8989697390</v>
      </c>
      <c r="D2275" s="2">
        <v>1</v>
      </c>
      <c r="E2275" t="str">
        <f>"4574674200759678"</f>
        <v>4574674200759678</v>
      </c>
      <c r="F2275" t="str">
        <f>"706"</f>
        <v>706</v>
      </c>
      <c r="G2275">
        <v>1</v>
      </c>
      <c r="H2275">
        <v>2023</v>
      </c>
      <c r="I2275" t="s">
        <v>2390</v>
      </c>
    </row>
    <row r="2276" spans="1:9" x14ac:dyDescent="0.3">
      <c r="A2276" t="s">
        <v>10125</v>
      </c>
      <c r="B2276" t="s">
        <v>80</v>
      </c>
      <c r="C2276">
        <v>8989697390</v>
      </c>
      <c r="D2276" s="2">
        <v>1</v>
      </c>
      <c r="E2276" t="str">
        <f>"4574674200759710"</f>
        <v>4574674200759710</v>
      </c>
      <c r="F2276" t="str">
        <f>"849"</f>
        <v>849</v>
      </c>
      <c r="G2276">
        <v>1</v>
      </c>
      <c r="H2276">
        <v>2023</v>
      </c>
      <c r="I2276" t="s">
        <v>2391</v>
      </c>
    </row>
    <row r="2277" spans="1:9" x14ac:dyDescent="0.3">
      <c r="A2277" t="s">
        <v>10125</v>
      </c>
      <c r="B2277" t="s">
        <v>80</v>
      </c>
      <c r="C2277">
        <v>8989697390</v>
      </c>
      <c r="D2277" s="2">
        <v>1</v>
      </c>
      <c r="E2277" t="str">
        <f>"4574674200759967"</f>
        <v>4574674200759967</v>
      </c>
      <c r="F2277" t="str">
        <f>"819"</f>
        <v>819</v>
      </c>
      <c r="G2277">
        <v>1</v>
      </c>
      <c r="H2277">
        <v>2023</v>
      </c>
      <c r="I2277" t="s">
        <v>2392</v>
      </c>
    </row>
    <row r="2278" spans="1:9" x14ac:dyDescent="0.3">
      <c r="A2278" t="s">
        <v>10125</v>
      </c>
      <c r="B2278" t="s">
        <v>80</v>
      </c>
      <c r="C2278">
        <v>8989697390</v>
      </c>
      <c r="D2278" s="2">
        <v>1</v>
      </c>
      <c r="E2278" t="str">
        <f>"4574674200759975"</f>
        <v>4574674200759975</v>
      </c>
      <c r="F2278" t="str">
        <f>"044"</f>
        <v>044</v>
      </c>
      <c r="G2278">
        <v>1</v>
      </c>
      <c r="H2278">
        <v>2023</v>
      </c>
      <c r="I2278" t="s">
        <v>2393</v>
      </c>
    </row>
    <row r="2279" spans="1:9" x14ac:dyDescent="0.3">
      <c r="A2279" t="s">
        <v>10125</v>
      </c>
      <c r="B2279" t="s">
        <v>80</v>
      </c>
      <c r="C2279">
        <v>8989697390</v>
      </c>
      <c r="D2279" s="2">
        <v>1</v>
      </c>
      <c r="E2279" t="str">
        <f>"4574674200759751"</f>
        <v>4574674200759751</v>
      </c>
      <c r="F2279" t="str">
        <f>"299"</f>
        <v>299</v>
      </c>
      <c r="G2279">
        <v>1</v>
      </c>
      <c r="H2279">
        <v>2023</v>
      </c>
      <c r="I2279" t="s">
        <v>2394</v>
      </c>
    </row>
    <row r="2280" spans="1:9" x14ac:dyDescent="0.3">
      <c r="A2280" t="s">
        <v>10125</v>
      </c>
      <c r="B2280" t="s">
        <v>80</v>
      </c>
      <c r="C2280">
        <v>8989697390</v>
      </c>
      <c r="D2280" s="2">
        <v>1</v>
      </c>
      <c r="E2280" t="str">
        <f>"4574674200759777"</f>
        <v>4574674200759777</v>
      </c>
      <c r="F2280" t="str">
        <f>"158"</f>
        <v>158</v>
      </c>
      <c r="G2280">
        <v>1</v>
      </c>
      <c r="H2280">
        <v>2023</v>
      </c>
      <c r="I2280" t="s">
        <v>2395</v>
      </c>
    </row>
    <row r="2281" spans="1:9" x14ac:dyDescent="0.3">
      <c r="A2281" t="s">
        <v>10163</v>
      </c>
      <c r="B2281" t="s">
        <v>57</v>
      </c>
      <c r="C2281">
        <v>8989697390</v>
      </c>
      <c r="D2281" s="2">
        <v>1</v>
      </c>
      <c r="E2281" t="str">
        <f>"4574674200759785"</f>
        <v>4574674200759785</v>
      </c>
      <c r="F2281" t="str">
        <f>"149"</f>
        <v>149</v>
      </c>
      <c r="G2281">
        <v>1</v>
      </c>
      <c r="H2281">
        <v>2023</v>
      </c>
      <c r="I2281" t="s">
        <v>2396</v>
      </c>
    </row>
    <row r="2282" spans="1:9" x14ac:dyDescent="0.3">
      <c r="A2282" t="s">
        <v>10163</v>
      </c>
      <c r="B2282" t="s">
        <v>57</v>
      </c>
      <c r="C2282">
        <v>8989697390</v>
      </c>
      <c r="D2282" s="2">
        <v>1</v>
      </c>
      <c r="E2282" t="str">
        <f>"4574674200759793"</f>
        <v>4574674200759793</v>
      </c>
      <c r="F2282" t="str">
        <f>"594"</f>
        <v>594</v>
      </c>
      <c r="G2282">
        <v>1</v>
      </c>
      <c r="H2282">
        <v>2023</v>
      </c>
      <c r="I2282" t="s">
        <v>2397</v>
      </c>
    </row>
    <row r="2283" spans="1:9" x14ac:dyDescent="0.3">
      <c r="A2283" t="s">
        <v>10163</v>
      </c>
      <c r="B2283" t="s">
        <v>57</v>
      </c>
      <c r="C2283">
        <v>8989697390</v>
      </c>
      <c r="D2283" s="2">
        <v>1</v>
      </c>
      <c r="E2283" t="str">
        <f>"4574674200760239"</f>
        <v>4574674200760239</v>
      </c>
      <c r="F2283" t="str">
        <f>"177"</f>
        <v>177</v>
      </c>
      <c r="G2283">
        <v>1</v>
      </c>
      <c r="H2283">
        <v>2023</v>
      </c>
      <c r="I2283" t="s">
        <v>2398</v>
      </c>
    </row>
    <row r="2284" spans="1:9" x14ac:dyDescent="0.3">
      <c r="A2284" t="s">
        <v>10163</v>
      </c>
      <c r="B2284" t="s">
        <v>57</v>
      </c>
      <c r="C2284">
        <v>8989697390</v>
      </c>
      <c r="D2284" s="2">
        <v>1</v>
      </c>
      <c r="E2284" t="str">
        <f>"4574674200760155"</f>
        <v>4574674200760155</v>
      </c>
      <c r="F2284" t="str">
        <f>"437"</f>
        <v>437</v>
      </c>
      <c r="G2284">
        <v>1</v>
      </c>
      <c r="H2284">
        <v>2023</v>
      </c>
      <c r="I2284" t="s">
        <v>2399</v>
      </c>
    </row>
    <row r="2285" spans="1:9" x14ac:dyDescent="0.3">
      <c r="A2285" t="s">
        <v>10163</v>
      </c>
      <c r="B2285" t="s">
        <v>57</v>
      </c>
      <c r="C2285">
        <v>8989697390</v>
      </c>
      <c r="D2285" s="2">
        <v>1</v>
      </c>
      <c r="E2285" t="str">
        <f>"4574674200760114"</f>
        <v>4574674200760114</v>
      </c>
      <c r="F2285" t="str">
        <f>"035"</f>
        <v>035</v>
      </c>
      <c r="G2285">
        <v>1</v>
      </c>
      <c r="H2285">
        <v>2023</v>
      </c>
      <c r="I2285" t="s">
        <v>2400</v>
      </c>
    </row>
    <row r="2286" spans="1:9" x14ac:dyDescent="0.3">
      <c r="A2286" t="s">
        <v>10163</v>
      </c>
      <c r="B2286" t="s">
        <v>57</v>
      </c>
      <c r="C2286">
        <v>8989697390</v>
      </c>
      <c r="D2286" s="2">
        <v>1</v>
      </c>
      <c r="E2286" t="str">
        <f>"4574674200760254"</f>
        <v>4574674200760254</v>
      </c>
      <c r="F2286" t="str">
        <f>"859"</f>
        <v>859</v>
      </c>
      <c r="G2286">
        <v>1</v>
      </c>
      <c r="H2286">
        <v>2023</v>
      </c>
      <c r="I2286" t="s">
        <v>2401</v>
      </c>
    </row>
    <row r="2287" spans="1:9" x14ac:dyDescent="0.3">
      <c r="A2287" t="s">
        <v>10163</v>
      </c>
      <c r="B2287" t="s">
        <v>57</v>
      </c>
      <c r="C2287">
        <v>8989697390</v>
      </c>
      <c r="D2287" s="2">
        <v>1</v>
      </c>
      <c r="E2287" t="str">
        <f>"4574674200760304"</f>
        <v>4574674200760304</v>
      </c>
      <c r="F2287" t="str">
        <f>"797"</f>
        <v>797</v>
      </c>
      <c r="G2287">
        <v>1</v>
      </c>
      <c r="H2287">
        <v>2023</v>
      </c>
      <c r="I2287" t="s">
        <v>2402</v>
      </c>
    </row>
    <row r="2288" spans="1:9" x14ac:dyDescent="0.3">
      <c r="A2288" t="s">
        <v>10163</v>
      </c>
      <c r="B2288" t="s">
        <v>57</v>
      </c>
      <c r="C2288">
        <v>8989697390</v>
      </c>
      <c r="D2288" s="2">
        <v>1</v>
      </c>
      <c r="E2288" t="str">
        <f>"4574674200760312"</f>
        <v>4574674200760312</v>
      </c>
      <c r="F2288" t="str">
        <f>"917"</f>
        <v>917</v>
      </c>
      <c r="G2288">
        <v>1</v>
      </c>
      <c r="H2288">
        <v>2023</v>
      </c>
      <c r="I2288" t="s">
        <v>2403</v>
      </c>
    </row>
    <row r="2289" spans="1:9" x14ac:dyDescent="0.3">
      <c r="A2289" t="s">
        <v>10163</v>
      </c>
      <c r="B2289" t="s">
        <v>57</v>
      </c>
      <c r="C2289">
        <v>8989697390</v>
      </c>
      <c r="D2289" s="2">
        <v>1</v>
      </c>
      <c r="E2289" t="str">
        <f>"4574674200760320"</f>
        <v>4574674200760320</v>
      </c>
      <c r="F2289" t="str">
        <f>"170"</f>
        <v>170</v>
      </c>
      <c r="G2289">
        <v>1</v>
      </c>
      <c r="H2289">
        <v>2023</v>
      </c>
      <c r="I2289" t="s">
        <v>2404</v>
      </c>
    </row>
    <row r="2290" spans="1:9" x14ac:dyDescent="0.3">
      <c r="A2290" t="s">
        <v>10163</v>
      </c>
      <c r="B2290" t="s">
        <v>57</v>
      </c>
      <c r="C2290">
        <v>8989697390</v>
      </c>
      <c r="D2290" s="2">
        <v>1</v>
      </c>
      <c r="E2290" t="str">
        <f>"4574674200760478"</f>
        <v>4574674200760478</v>
      </c>
      <c r="F2290" t="str">
        <f>"046"</f>
        <v>046</v>
      </c>
      <c r="G2290">
        <v>1</v>
      </c>
      <c r="H2290">
        <v>2023</v>
      </c>
      <c r="I2290" t="s">
        <v>2405</v>
      </c>
    </row>
    <row r="2291" spans="1:9" x14ac:dyDescent="0.3">
      <c r="A2291" t="s">
        <v>10164</v>
      </c>
      <c r="B2291" t="s">
        <v>58</v>
      </c>
      <c r="C2291">
        <v>8989697390</v>
      </c>
      <c r="D2291" s="2">
        <v>1</v>
      </c>
      <c r="E2291" t="str">
        <f>"4574674200760486"</f>
        <v>4574674200760486</v>
      </c>
      <c r="F2291" t="str">
        <f>"870"</f>
        <v>870</v>
      </c>
      <c r="G2291">
        <v>1</v>
      </c>
      <c r="H2291">
        <v>2023</v>
      </c>
      <c r="I2291" t="s">
        <v>2406</v>
      </c>
    </row>
    <row r="2292" spans="1:9" x14ac:dyDescent="0.3">
      <c r="A2292" t="s">
        <v>10164</v>
      </c>
      <c r="B2292" t="s">
        <v>58</v>
      </c>
      <c r="C2292">
        <v>8989697390</v>
      </c>
      <c r="D2292" s="2">
        <v>1</v>
      </c>
      <c r="E2292" t="str">
        <f>"4574674200760353"</f>
        <v>4574674200760353</v>
      </c>
      <c r="F2292" t="str">
        <f>"179"</f>
        <v>179</v>
      </c>
      <c r="G2292">
        <v>1</v>
      </c>
      <c r="H2292">
        <v>2023</v>
      </c>
      <c r="I2292" t="s">
        <v>2407</v>
      </c>
    </row>
    <row r="2293" spans="1:9" x14ac:dyDescent="0.3">
      <c r="A2293" t="s">
        <v>10164</v>
      </c>
      <c r="B2293" t="s">
        <v>58</v>
      </c>
      <c r="C2293">
        <v>8989697390</v>
      </c>
      <c r="D2293" s="2">
        <v>1</v>
      </c>
      <c r="E2293" t="str">
        <f>"4574674200760361"</f>
        <v>4574674200760361</v>
      </c>
      <c r="F2293" t="str">
        <f>"257"</f>
        <v>257</v>
      </c>
      <c r="G2293">
        <v>1</v>
      </c>
      <c r="H2293">
        <v>2023</v>
      </c>
      <c r="I2293" t="s">
        <v>2408</v>
      </c>
    </row>
    <row r="2294" spans="1:9" x14ac:dyDescent="0.3">
      <c r="A2294" t="s">
        <v>10164</v>
      </c>
      <c r="B2294" t="s">
        <v>58</v>
      </c>
      <c r="C2294">
        <v>8989697390</v>
      </c>
      <c r="D2294" s="2">
        <v>1</v>
      </c>
      <c r="E2294" t="str">
        <f>"4574674200760627"</f>
        <v>4574674200760627</v>
      </c>
      <c r="F2294" t="str">
        <f>"603"</f>
        <v>603</v>
      </c>
      <c r="G2294">
        <v>1</v>
      </c>
      <c r="H2294">
        <v>2023</v>
      </c>
      <c r="I2294" t="s">
        <v>2409</v>
      </c>
    </row>
    <row r="2295" spans="1:9" x14ac:dyDescent="0.3">
      <c r="A2295" t="s">
        <v>10164</v>
      </c>
      <c r="B2295" t="s">
        <v>58</v>
      </c>
      <c r="C2295">
        <v>8989697390</v>
      </c>
      <c r="D2295" s="2">
        <v>1</v>
      </c>
      <c r="E2295" t="str">
        <f>"4574674200760619"</f>
        <v>4574674200760619</v>
      </c>
      <c r="F2295" t="str">
        <f>"391"</f>
        <v>391</v>
      </c>
      <c r="G2295">
        <v>1</v>
      </c>
      <c r="H2295">
        <v>2023</v>
      </c>
      <c r="I2295" t="s">
        <v>2410</v>
      </c>
    </row>
    <row r="2296" spans="1:9" x14ac:dyDescent="0.3">
      <c r="A2296" t="s">
        <v>10164</v>
      </c>
      <c r="B2296" t="s">
        <v>58</v>
      </c>
      <c r="C2296">
        <v>8989697390</v>
      </c>
      <c r="D2296" s="2">
        <v>1</v>
      </c>
      <c r="E2296" t="str">
        <f>"4574674200760643"</f>
        <v>4574674200760643</v>
      </c>
      <c r="F2296" t="str">
        <f>"516"</f>
        <v>516</v>
      </c>
      <c r="G2296">
        <v>1</v>
      </c>
      <c r="H2296">
        <v>2023</v>
      </c>
      <c r="I2296" t="s">
        <v>2411</v>
      </c>
    </row>
    <row r="2297" spans="1:9" x14ac:dyDescent="0.3">
      <c r="A2297" t="s">
        <v>10164</v>
      </c>
      <c r="B2297" t="s">
        <v>58</v>
      </c>
      <c r="C2297">
        <v>8989697390</v>
      </c>
      <c r="D2297" s="2">
        <v>1</v>
      </c>
      <c r="E2297" t="str">
        <f>"4574674200760908"</f>
        <v>4574674200760908</v>
      </c>
      <c r="F2297" t="str">
        <f>"852"</f>
        <v>852</v>
      </c>
      <c r="G2297">
        <v>1</v>
      </c>
      <c r="H2297">
        <v>2023</v>
      </c>
      <c r="I2297" t="s">
        <v>2412</v>
      </c>
    </row>
    <row r="2298" spans="1:9" x14ac:dyDescent="0.3">
      <c r="A2298" t="s">
        <v>10164</v>
      </c>
      <c r="B2298" t="s">
        <v>58</v>
      </c>
      <c r="C2298">
        <v>8989697390</v>
      </c>
      <c r="D2298" s="2">
        <v>1</v>
      </c>
      <c r="E2298" t="str">
        <f>"4574674200760858"</f>
        <v>4574674200760858</v>
      </c>
      <c r="F2298" t="str">
        <f>"389"</f>
        <v>389</v>
      </c>
      <c r="G2298">
        <v>1</v>
      </c>
      <c r="H2298">
        <v>2023</v>
      </c>
      <c r="I2298" t="s">
        <v>2413</v>
      </c>
    </row>
    <row r="2299" spans="1:9" x14ac:dyDescent="0.3">
      <c r="A2299" t="s">
        <v>10164</v>
      </c>
      <c r="B2299" t="s">
        <v>58</v>
      </c>
      <c r="C2299">
        <v>8989697390</v>
      </c>
      <c r="D2299" s="2">
        <v>1</v>
      </c>
      <c r="E2299" t="str">
        <f>"4574674200760684"</f>
        <v>4574674200760684</v>
      </c>
      <c r="F2299" t="str">
        <f>"378"</f>
        <v>378</v>
      </c>
      <c r="G2299">
        <v>1</v>
      </c>
      <c r="H2299">
        <v>2023</v>
      </c>
      <c r="I2299" t="s">
        <v>2414</v>
      </c>
    </row>
    <row r="2300" spans="1:9" x14ac:dyDescent="0.3">
      <c r="A2300" t="s">
        <v>10164</v>
      </c>
      <c r="B2300" t="s">
        <v>58</v>
      </c>
      <c r="C2300">
        <v>8989697390</v>
      </c>
      <c r="D2300" s="2">
        <v>1</v>
      </c>
      <c r="E2300" t="str">
        <f>"4574674200760692"</f>
        <v>4574674200760692</v>
      </c>
      <c r="F2300" t="str">
        <f>"992"</f>
        <v>992</v>
      </c>
      <c r="G2300">
        <v>1</v>
      </c>
      <c r="H2300">
        <v>2023</v>
      </c>
      <c r="I2300" t="s">
        <v>2415</v>
      </c>
    </row>
    <row r="2301" spans="1:9" x14ac:dyDescent="0.3">
      <c r="A2301" t="s">
        <v>10124</v>
      </c>
      <c r="B2301" t="s">
        <v>79</v>
      </c>
      <c r="C2301">
        <v>8989697390</v>
      </c>
      <c r="D2301" s="2">
        <v>1</v>
      </c>
      <c r="E2301" t="str">
        <f>"4574674200760957"</f>
        <v>4574674200760957</v>
      </c>
      <c r="F2301" t="str">
        <f>"183"</f>
        <v>183</v>
      </c>
      <c r="G2301">
        <v>1</v>
      </c>
      <c r="H2301">
        <v>2023</v>
      </c>
      <c r="I2301" t="s">
        <v>2416</v>
      </c>
    </row>
    <row r="2302" spans="1:9" x14ac:dyDescent="0.3">
      <c r="A2302" t="s">
        <v>10124</v>
      </c>
      <c r="B2302" t="s">
        <v>79</v>
      </c>
      <c r="C2302">
        <v>8989697390</v>
      </c>
      <c r="D2302" s="2">
        <v>1</v>
      </c>
      <c r="E2302" t="str">
        <f>"4574674200760742"</f>
        <v>4574674200760742</v>
      </c>
      <c r="F2302" t="str">
        <f>"738"</f>
        <v>738</v>
      </c>
      <c r="G2302">
        <v>1</v>
      </c>
      <c r="H2302">
        <v>2023</v>
      </c>
      <c r="I2302" t="s">
        <v>2417</v>
      </c>
    </row>
    <row r="2303" spans="1:9" x14ac:dyDescent="0.3">
      <c r="A2303" t="s">
        <v>10124</v>
      </c>
      <c r="B2303" t="s">
        <v>79</v>
      </c>
      <c r="C2303">
        <v>8989697390</v>
      </c>
      <c r="D2303" s="2">
        <v>1</v>
      </c>
      <c r="E2303" t="str">
        <f>"4574674200761070"</f>
        <v>4574674200761070</v>
      </c>
      <c r="F2303" t="str">
        <f>"558"</f>
        <v>558</v>
      </c>
      <c r="G2303">
        <v>1</v>
      </c>
      <c r="H2303">
        <v>2023</v>
      </c>
      <c r="I2303" t="s">
        <v>2418</v>
      </c>
    </row>
    <row r="2304" spans="1:9" x14ac:dyDescent="0.3">
      <c r="A2304" t="s">
        <v>10124</v>
      </c>
      <c r="B2304" t="s">
        <v>79</v>
      </c>
      <c r="C2304">
        <v>8989697390</v>
      </c>
      <c r="D2304" s="2">
        <v>1</v>
      </c>
      <c r="E2304" t="str">
        <f>"4574674200760759"</f>
        <v>4574674200760759</v>
      </c>
      <c r="F2304" t="str">
        <f>"231"</f>
        <v>231</v>
      </c>
      <c r="G2304">
        <v>1</v>
      </c>
      <c r="H2304">
        <v>2023</v>
      </c>
      <c r="I2304" t="s">
        <v>2419</v>
      </c>
    </row>
    <row r="2305" spans="1:9" x14ac:dyDescent="0.3">
      <c r="A2305" t="s">
        <v>10124</v>
      </c>
      <c r="B2305" t="s">
        <v>79</v>
      </c>
      <c r="C2305">
        <v>8989697390</v>
      </c>
      <c r="D2305" s="2">
        <v>1</v>
      </c>
      <c r="E2305" t="str">
        <f>"4574674200760767"</f>
        <v>4574674200760767</v>
      </c>
      <c r="F2305" t="str">
        <f>"340"</f>
        <v>340</v>
      </c>
      <c r="G2305">
        <v>1</v>
      </c>
      <c r="H2305">
        <v>2023</v>
      </c>
      <c r="I2305" t="s">
        <v>2420</v>
      </c>
    </row>
    <row r="2306" spans="1:9" x14ac:dyDescent="0.3">
      <c r="A2306" t="s">
        <v>10124</v>
      </c>
      <c r="B2306" t="s">
        <v>79</v>
      </c>
      <c r="C2306">
        <v>8989697390</v>
      </c>
      <c r="D2306" s="2">
        <v>1</v>
      </c>
      <c r="E2306" t="str">
        <f>"4574674200760775"</f>
        <v>4574674200760775</v>
      </c>
      <c r="F2306" t="str">
        <f>"472"</f>
        <v>472</v>
      </c>
      <c r="G2306">
        <v>1</v>
      </c>
      <c r="H2306">
        <v>2023</v>
      </c>
      <c r="I2306" t="s">
        <v>2421</v>
      </c>
    </row>
    <row r="2307" spans="1:9" x14ac:dyDescent="0.3">
      <c r="A2307" t="s">
        <v>10124</v>
      </c>
      <c r="B2307" t="s">
        <v>79</v>
      </c>
      <c r="C2307">
        <v>8989697390</v>
      </c>
      <c r="D2307" s="2">
        <v>1</v>
      </c>
      <c r="E2307" t="str">
        <f>"4574674200760791"</f>
        <v>4574674200760791</v>
      </c>
      <c r="F2307" t="str">
        <f>"092"</f>
        <v>092</v>
      </c>
      <c r="G2307">
        <v>1</v>
      </c>
      <c r="H2307">
        <v>2023</v>
      </c>
      <c r="I2307" t="s">
        <v>2422</v>
      </c>
    </row>
    <row r="2308" spans="1:9" x14ac:dyDescent="0.3">
      <c r="A2308" t="s">
        <v>10124</v>
      </c>
      <c r="B2308" t="s">
        <v>79</v>
      </c>
      <c r="C2308">
        <v>8989697390</v>
      </c>
      <c r="D2308" s="2">
        <v>1</v>
      </c>
      <c r="E2308" t="str">
        <f>"4574674200761112"</f>
        <v>4574674200761112</v>
      </c>
      <c r="F2308" t="str">
        <f>"813"</f>
        <v>813</v>
      </c>
      <c r="G2308">
        <v>1</v>
      </c>
      <c r="H2308">
        <v>2023</v>
      </c>
      <c r="I2308" t="s">
        <v>2423</v>
      </c>
    </row>
    <row r="2309" spans="1:9" x14ac:dyDescent="0.3">
      <c r="A2309" t="s">
        <v>10124</v>
      </c>
      <c r="B2309" t="s">
        <v>79</v>
      </c>
      <c r="C2309">
        <v>8989697390</v>
      </c>
      <c r="D2309" s="2">
        <v>1</v>
      </c>
      <c r="E2309" t="str">
        <f>"4574674200761195"</f>
        <v>4574674200761195</v>
      </c>
      <c r="F2309" t="str">
        <f>"249"</f>
        <v>249</v>
      </c>
      <c r="G2309">
        <v>1</v>
      </c>
      <c r="H2309">
        <v>2023</v>
      </c>
      <c r="I2309" t="s">
        <v>2424</v>
      </c>
    </row>
    <row r="2310" spans="1:9" x14ac:dyDescent="0.3">
      <c r="A2310" t="s">
        <v>10124</v>
      </c>
      <c r="B2310" t="s">
        <v>79</v>
      </c>
      <c r="C2310">
        <v>8989697390</v>
      </c>
      <c r="D2310" s="2">
        <v>1</v>
      </c>
      <c r="E2310" t="str">
        <f>"4574674200761260"</f>
        <v>4574674200761260</v>
      </c>
      <c r="F2310" t="str">
        <f>"002"</f>
        <v>002</v>
      </c>
      <c r="G2310">
        <v>1</v>
      </c>
      <c r="H2310">
        <v>2023</v>
      </c>
      <c r="I2310" t="s">
        <v>2425</v>
      </c>
    </row>
    <row r="2311" spans="1:9" x14ac:dyDescent="0.3">
      <c r="A2311" t="s">
        <v>10125</v>
      </c>
      <c r="B2311" t="s">
        <v>80</v>
      </c>
      <c r="C2311">
        <v>8989697390</v>
      </c>
      <c r="D2311" s="2">
        <v>1</v>
      </c>
      <c r="E2311" t="str">
        <f>"4574674200761278"</f>
        <v>4574674200761278</v>
      </c>
      <c r="F2311" t="str">
        <f>"356"</f>
        <v>356</v>
      </c>
      <c r="G2311">
        <v>1</v>
      </c>
      <c r="H2311">
        <v>2023</v>
      </c>
      <c r="I2311" t="s">
        <v>2426</v>
      </c>
    </row>
    <row r="2312" spans="1:9" x14ac:dyDescent="0.3">
      <c r="A2312" t="s">
        <v>10125</v>
      </c>
      <c r="B2312" t="s">
        <v>80</v>
      </c>
      <c r="C2312">
        <v>8989697390</v>
      </c>
      <c r="D2312" s="2">
        <v>1</v>
      </c>
      <c r="E2312" t="str">
        <f>"4574674200761286"</f>
        <v>4574674200761286</v>
      </c>
      <c r="F2312" t="str">
        <f>"271"</f>
        <v>271</v>
      </c>
      <c r="G2312">
        <v>1</v>
      </c>
      <c r="H2312">
        <v>2023</v>
      </c>
      <c r="I2312" t="s">
        <v>2427</v>
      </c>
    </row>
    <row r="2313" spans="1:9" x14ac:dyDescent="0.3">
      <c r="A2313" t="s">
        <v>10125</v>
      </c>
      <c r="B2313" t="s">
        <v>80</v>
      </c>
      <c r="C2313">
        <v>8989697390</v>
      </c>
      <c r="D2313" s="2">
        <v>1</v>
      </c>
      <c r="E2313" t="str">
        <f>"4574674200761492"</f>
        <v>4574674200761492</v>
      </c>
      <c r="F2313" t="str">
        <f>"607"</f>
        <v>607</v>
      </c>
      <c r="G2313">
        <v>1</v>
      </c>
      <c r="H2313">
        <v>2023</v>
      </c>
      <c r="I2313" t="s">
        <v>2428</v>
      </c>
    </row>
    <row r="2314" spans="1:9" x14ac:dyDescent="0.3">
      <c r="A2314" t="s">
        <v>10125</v>
      </c>
      <c r="B2314" t="s">
        <v>80</v>
      </c>
      <c r="C2314">
        <v>8989697390</v>
      </c>
      <c r="D2314" s="2">
        <v>1</v>
      </c>
      <c r="E2314" t="str">
        <f>"4574674200761302"</f>
        <v>4574674200761302</v>
      </c>
      <c r="F2314" t="str">
        <f>"968"</f>
        <v>968</v>
      </c>
      <c r="G2314">
        <v>1</v>
      </c>
      <c r="H2314">
        <v>2023</v>
      </c>
      <c r="I2314" t="s">
        <v>2429</v>
      </c>
    </row>
    <row r="2315" spans="1:9" x14ac:dyDescent="0.3">
      <c r="A2315" t="s">
        <v>10125</v>
      </c>
      <c r="B2315" t="s">
        <v>80</v>
      </c>
      <c r="C2315">
        <v>8989697390</v>
      </c>
      <c r="D2315" s="2">
        <v>1</v>
      </c>
      <c r="E2315" t="str">
        <f>"4574674200761310"</f>
        <v>4574674200761310</v>
      </c>
      <c r="F2315" t="str">
        <f>"877"</f>
        <v>877</v>
      </c>
      <c r="G2315">
        <v>1</v>
      </c>
      <c r="H2315">
        <v>2023</v>
      </c>
      <c r="I2315" t="s">
        <v>2430</v>
      </c>
    </row>
    <row r="2316" spans="1:9" x14ac:dyDescent="0.3">
      <c r="A2316" t="s">
        <v>10125</v>
      </c>
      <c r="B2316" t="s">
        <v>80</v>
      </c>
      <c r="C2316">
        <v>8989697390</v>
      </c>
      <c r="D2316" s="2">
        <v>1</v>
      </c>
      <c r="E2316" t="str">
        <f>"4574674200761591"</f>
        <v>4574674200761591</v>
      </c>
      <c r="F2316" t="str">
        <f>"959"</f>
        <v>959</v>
      </c>
      <c r="G2316">
        <v>1</v>
      </c>
      <c r="H2316">
        <v>2023</v>
      </c>
      <c r="I2316" t="s">
        <v>2431</v>
      </c>
    </row>
    <row r="2317" spans="1:9" x14ac:dyDescent="0.3">
      <c r="A2317" t="s">
        <v>10125</v>
      </c>
      <c r="B2317" t="s">
        <v>80</v>
      </c>
      <c r="C2317">
        <v>8989697390</v>
      </c>
      <c r="D2317" s="2">
        <v>1</v>
      </c>
      <c r="E2317" t="str">
        <f>"4574674200761641"</f>
        <v>4574674200761641</v>
      </c>
      <c r="F2317" t="str">
        <f>"814"</f>
        <v>814</v>
      </c>
      <c r="G2317">
        <v>1</v>
      </c>
      <c r="H2317">
        <v>2023</v>
      </c>
      <c r="I2317" t="s">
        <v>2432</v>
      </c>
    </row>
    <row r="2318" spans="1:9" x14ac:dyDescent="0.3">
      <c r="A2318" t="s">
        <v>10125</v>
      </c>
      <c r="B2318" t="s">
        <v>80</v>
      </c>
      <c r="C2318">
        <v>8989697390</v>
      </c>
      <c r="D2318" s="2">
        <v>1</v>
      </c>
      <c r="E2318" t="str">
        <f>"4574674200761377"</f>
        <v>4574674200761377</v>
      </c>
      <c r="F2318" t="str">
        <f>"074"</f>
        <v>074</v>
      </c>
      <c r="G2318">
        <v>1</v>
      </c>
      <c r="H2318">
        <v>2023</v>
      </c>
      <c r="I2318" t="s">
        <v>2433</v>
      </c>
    </row>
    <row r="2319" spans="1:9" x14ac:dyDescent="0.3">
      <c r="A2319" t="s">
        <v>10125</v>
      </c>
      <c r="B2319" t="s">
        <v>80</v>
      </c>
      <c r="C2319">
        <v>8989697390</v>
      </c>
      <c r="D2319" s="2">
        <v>1</v>
      </c>
      <c r="E2319" t="str">
        <f>"4574674200761393"</f>
        <v>4574674200761393</v>
      </c>
      <c r="F2319" t="str">
        <f>"661"</f>
        <v>661</v>
      </c>
      <c r="G2319">
        <v>1</v>
      </c>
      <c r="H2319">
        <v>2023</v>
      </c>
      <c r="I2319" t="s">
        <v>2434</v>
      </c>
    </row>
    <row r="2320" spans="1:9" x14ac:dyDescent="0.3">
      <c r="A2320" t="s">
        <v>10125</v>
      </c>
      <c r="B2320" t="s">
        <v>80</v>
      </c>
      <c r="C2320">
        <v>8989697390</v>
      </c>
      <c r="D2320" s="2">
        <v>1</v>
      </c>
      <c r="E2320" t="str">
        <f>"4574674200761807"</f>
        <v>4574674200761807</v>
      </c>
      <c r="F2320" t="str">
        <f>"183"</f>
        <v>183</v>
      </c>
      <c r="G2320">
        <v>1</v>
      </c>
      <c r="H2320">
        <v>2023</v>
      </c>
      <c r="I2320" t="s">
        <v>2435</v>
      </c>
    </row>
    <row r="2321" spans="1:9" x14ac:dyDescent="0.3">
      <c r="A2321" t="s">
        <v>10169</v>
      </c>
      <c r="B2321" t="s">
        <v>70</v>
      </c>
      <c r="C2321">
        <v>8989697390</v>
      </c>
      <c r="D2321" s="2">
        <v>1</v>
      </c>
      <c r="E2321" t="str">
        <f>"4574674200761815"</f>
        <v>4574674200761815</v>
      </c>
      <c r="F2321" t="str">
        <f>"103"</f>
        <v>103</v>
      </c>
      <c r="G2321">
        <v>1</v>
      </c>
      <c r="H2321">
        <v>2023</v>
      </c>
      <c r="I2321" t="s">
        <v>2436</v>
      </c>
    </row>
    <row r="2322" spans="1:9" x14ac:dyDescent="0.3">
      <c r="A2322" t="s">
        <v>10169</v>
      </c>
      <c r="B2322" t="s">
        <v>70</v>
      </c>
      <c r="C2322">
        <v>8989697390</v>
      </c>
      <c r="D2322" s="2">
        <v>1</v>
      </c>
      <c r="E2322" t="str">
        <f>"4574674200761765"</f>
        <v>4574674200761765</v>
      </c>
      <c r="F2322" t="str">
        <f>"575"</f>
        <v>575</v>
      </c>
      <c r="G2322">
        <v>1</v>
      </c>
      <c r="H2322">
        <v>2023</v>
      </c>
      <c r="I2322" t="s">
        <v>2437</v>
      </c>
    </row>
    <row r="2323" spans="1:9" x14ac:dyDescent="0.3">
      <c r="A2323" t="s">
        <v>10169</v>
      </c>
      <c r="B2323" t="s">
        <v>70</v>
      </c>
      <c r="C2323">
        <v>8989697390</v>
      </c>
      <c r="D2323" s="2">
        <v>1</v>
      </c>
      <c r="E2323" t="str">
        <f>"4574674200761757"</f>
        <v>4574674200761757</v>
      </c>
      <c r="F2323" t="str">
        <f>"648"</f>
        <v>648</v>
      </c>
      <c r="G2323">
        <v>1</v>
      </c>
      <c r="H2323">
        <v>2023</v>
      </c>
      <c r="I2323" t="s">
        <v>2438</v>
      </c>
    </row>
    <row r="2324" spans="1:9" x14ac:dyDescent="0.3">
      <c r="A2324" t="s">
        <v>10169</v>
      </c>
      <c r="B2324" t="s">
        <v>70</v>
      </c>
      <c r="C2324">
        <v>8989697390</v>
      </c>
      <c r="D2324" s="2">
        <v>1</v>
      </c>
      <c r="E2324" t="str">
        <f>"4574674200761849"</f>
        <v>4574674200761849</v>
      </c>
      <c r="F2324" t="str">
        <f>"576"</f>
        <v>576</v>
      </c>
      <c r="G2324">
        <v>1</v>
      </c>
      <c r="H2324">
        <v>2023</v>
      </c>
      <c r="I2324" t="s">
        <v>2439</v>
      </c>
    </row>
    <row r="2325" spans="1:9" x14ac:dyDescent="0.3">
      <c r="A2325" t="s">
        <v>10169</v>
      </c>
      <c r="B2325" t="s">
        <v>70</v>
      </c>
      <c r="C2325">
        <v>8989697390</v>
      </c>
      <c r="D2325" s="2">
        <v>1</v>
      </c>
      <c r="E2325" t="str">
        <f>"4574674200761872"</f>
        <v>4574674200761872</v>
      </c>
      <c r="F2325" t="str">
        <f>"846"</f>
        <v>846</v>
      </c>
      <c r="G2325">
        <v>1</v>
      </c>
      <c r="H2325">
        <v>2023</v>
      </c>
      <c r="I2325" t="s">
        <v>2440</v>
      </c>
    </row>
    <row r="2326" spans="1:9" x14ac:dyDescent="0.3">
      <c r="A2326" t="s">
        <v>10169</v>
      </c>
      <c r="B2326" t="s">
        <v>70</v>
      </c>
      <c r="C2326">
        <v>8989697390</v>
      </c>
      <c r="D2326" s="2">
        <v>1</v>
      </c>
      <c r="E2326" t="str">
        <f>"4574674200761906"</f>
        <v>4574674200761906</v>
      </c>
      <c r="F2326" t="str">
        <f>"560"</f>
        <v>560</v>
      </c>
      <c r="G2326">
        <v>1</v>
      </c>
      <c r="H2326">
        <v>2023</v>
      </c>
      <c r="I2326" t="s">
        <v>2441</v>
      </c>
    </row>
    <row r="2327" spans="1:9" x14ac:dyDescent="0.3">
      <c r="A2327" t="s">
        <v>10169</v>
      </c>
      <c r="B2327" t="s">
        <v>70</v>
      </c>
      <c r="C2327">
        <v>8989697390</v>
      </c>
      <c r="D2327" s="2">
        <v>1</v>
      </c>
      <c r="E2327" t="str">
        <f>"4574674200762052"</f>
        <v>4574674200762052</v>
      </c>
      <c r="F2327" t="str">
        <f>"399"</f>
        <v>399</v>
      </c>
      <c r="G2327">
        <v>1</v>
      </c>
      <c r="H2327">
        <v>2023</v>
      </c>
      <c r="I2327" t="s">
        <v>2442</v>
      </c>
    </row>
    <row r="2328" spans="1:9" x14ac:dyDescent="0.3">
      <c r="A2328" t="s">
        <v>10169</v>
      </c>
      <c r="B2328" t="s">
        <v>70</v>
      </c>
      <c r="C2328">
        <v>8989697390</v>
      </c>
      <c r="D2328" s="2">
        <v>1</v>
      </c>
      <c r="E2328" t="str">
        <f>"4574674200762078"</f>
        <v>4574674200762078</v>
      </c>
      <c r="F2328" t="str">
        <f>"022"</f>
        <v>022</v>
      </c>
      <c r="G2328">
        <v>1</v>
      </c>
      <c r="H2328">
        <v>2023</v>
      </c>
      <c r="I2328" t="s">
        <v>2443</v>
      </c>
    </row>
    <row r="2329" spans="1:9" x14ac:dyDescent="0.3">
      <c r="A2329" t="s">
        <v>10169</v>
      </c>
      <c r="B2329" t="s">
        <v>70</v>
      </c>
      <c r="C2329">
        <v>8989697390</v>
      </c>
      <c r="D2329" s="2">
        <v>1</v>
      </c>
      <c r="E2329" t="str">
        <f>"4574674200761930"</f>
        <v>4574674200761930</v>
      </c>
      <c r="F2329" t="str">
        <f>"128"</f>
        <v>128</v>
      </c>
      <c r="G2329">
        <v>1</v>
      </c>
      <c r="H2329">
        <v>2023</v>
      </c>
      <c r="I2329" t="s">
        <v>2444</v>
      </c>
    </row>
    <row r="2330" spans="1:9" x14ac:dyDescent="0.3">
      <c r="A2330" t="s">
        <v>10169</v>
      </c>
      <c r="B2330" t="s">
        <v>70</v>
      </c>
      <c r="C2330">
        <v>8989697390</v>
      </c>
      <c r="D2330" s="2">
        <v>1</v>
      </c>
      <c r="E2330" t="str">
        <f>"4574674200761948"</f>
        <v>4574674200761948</v>
      </c>
      <c r="F2330" t="str">
        <f>"074"</f>
        <v>074</v>
      </c>
      <c r="G2330">
        <v>1</v>
      </c>
      <c r="H2330">
        <v>2023</v>
      </c>
      <c r="I2330" t="s">
        <v>2445</v>
      </c>
    </row>
    <row r="2331" spans="1:9" x14ac:dyDescent="0.3">
      <c r="A2331" t="s">
        <v>10128</v>
      </c>
      <c r="B2331" t="s">
        <v>71</v>
      </c>
      <c r="C2331">
        <v>8989697390</v>
      </c>
      <c r="D2331" s="2">
        <v>1</v>
      </c>
      <c r="E2331" t="str">
        <f>"4574674200761963"</f>
        <v>4574674200761963</v>
      </c>
      <c r="F2331" t="str">
        <f>"749"</f>
        <v>749</v>
      </c>
      <c r="G2331">
        <v>1</v>
      </c>
      <c r="H2331">
        <v>2023</v>
      </c>
      <c r="I2331" t="s">
        <v>2446</v>
      </c>
    </row>
    <row r="2332" spans="1:9" x14ac:dyDescent="0.3">
      <c r="A2332" t="s">
        <v>10128</v>
      </c>
      <c r="B2332" t="s">
        <v>71</v>
      </c>
      <c r="C2332">
        <v>8989697390</v>
      </c>
      <c r="D2332" s="2">
        <v>1</v>
      </c>
      <c r="E2332" t="str">
        <f>"4574674200762177"</f>
        <v>4574674200762177</v>
      </c>
      <c r="F2332" t="str">
        <f>"580"</f>
        <v>580</v>
      </c>
      <c r="G2332">
        <v>1</v>
      </c>
      <c r="H2332">
        <v>2023</v>
      </c>
      <c r="I2332" t="s">
        <v>2447</v>
      </c>
    </row>
    <row r="2333" spans="1:9" x14ac:dyDescent="0.3">
      <c r="A2333" t="s">
        <v>10128</v>
      </c>
      <c r="B2333" t="s">
        <v>71</v>
      </c>
      <c r="C2333">
        <v>8989697390</v>
      </c>
      <c r="D2333" s="2">
        <v>1</v>
      </c>
      <c r="E2333" t="str">
        <f>"4574674200762292"</f>
        <v>4574674200762292</v>
      </c>
      <c r="F2333" t="str">
        <f>"682"</f>
        <v>682</v>
      </c>
      <c r="G2333">
        <v>1</v>
      </c>
      <c r="H2333">
        <v>2023</v>
      </c>
      <c r="I2333" t="s">
        <v>2448</v>
      </c>
    </row>
    <row r="2334" spans="1:9" x14ac:dyDescent="0.3">
      <c r="A2334" t="s">
        <v>10128</v>
      </c>
      <c r="B2334" t="s">
        <v>71</v>
      </c>
      <c r="C2334">
        <v>8989697390</v>
      </c>
      <c r="D2334" s="2">
        <v>1</v>
      </c>
      <c r="E2334" t="str">
        <f>"4574674200761997"</f>
        <v>4574674200761997</v>
      </c>
      <c r="F2334" t="str">
        <f>"887"</f>
        <v>887</v>
      </c>
      <c r="G2334">
        <v>1</v>
      </c>
      <c r="H2334">
        <v>2023</v>
      </c>
      <c r="I2334" t="s">
        <v>2449</v>
      </c>
    </row>
    <row r="2335" spans="1:9" x14ac:dyDescent="0.3">
      <c r="A2335" t="s">
        <v>10128</v>
      </c>
      <c r="B2335" t="s">
        <v>71</v>
      </c>
      <c r="C2335">
        <v>8989697390</v>
      </c>
      <c r="D2335" s="2">
        <v>1</v>
      </c>
      <c r="E2335" t="str">
        <f>"4574674200762409"</f>
        <v>4574674200762409</v>
      </c>
      <c r="F2335" t="str">
        <f>"778"</f>
        <v>778</v>
      </c>
      <c r="G2335">
        <v>1</v>
      </c>
      <c r="H2335">
        <v>2023</v>
      </c>
      <c r="I2335" t="s">
        <v>2450</v>
      </c>
    </row>
    <row r="2336" spans="1:9" x14ac:dyDescent="0.3">
      <c r="A2336" t="s">
        <v>10128</v>
      </c>
      <c r="B2336" t="s">
        <v>71</v>
      </c>
      <c r="C2336">
        <v>8989697390</v>
      </c>
      <c r="D2336" s="2">
        <v>1</v>
      </c>
      <c r="E2336" t="str">
        <f>"4574674200762433"</f>
        <v>4574674200762433</v>
      </c>
      <c r="F2336" t="str">
        <f>"234"</f>
        <v>234</v>
      </c>
      <c r="G2336">
        <v>1</v>
      </c>
      <c r="H2336">
        <v>2023</v>
      </c>
      <c r="I2336" t="s">
        <v>2451</v>
      </c>
    </row>
    <row r="2337" spans="1:9" x14ac:dyDescent="0.3">
      <c r="A2337" t="s">
        <v>10128</v>
      </c>
      <c r="B2337" t="s">
        <v>71</v>
      </c>
      <c r="C2337">
        <v>8989697390</v>
      </c>
      <c r="D2337" s="2">
        <v>1</v>
      </c>
      <c r="E2337" t="str">
        <f>"4574674200762466"</f>
        <v>4574674200762466</v>
      </c>
      <c r="F2337" t="str">
        <f>"386"</f>
        <v>386</v>
      </c>
      <c r="G2337">
        <v>1</v>
      </c>
      <c r="H2337">
        <v>2023</v>
      </c>
      <c r="I2337" t="s">
        <v>2452</v>
      </c>
    </row>
    <row r="2338" spans="1:9" x14ac:dyDescent="0.3">
      <c r="A2338" t="s">
        <v>10128</v>
      </c>
      <c r="B2338" t="s">
        <v>71</v>
      </c>
      <c r="C2338">
        <v>8989697390</v>
      </c>
      <c r="D2338" s="2">
        <v>1</v>
      </c>
      <c r="E2338" t="str">
        <f>"4574674200762391"</f>
        <v>4574674200762391</v>
      </c>
      <c r="F2338" t="str">
        <f>"898"</f>
        <v>898</v>
      </c>
      <c r="G2338">
        <v>1</v>
      </c>
      <c r="H2338">
        <v>2023</v>
      </c>
      <c r="I2338" t="s">
        <v>2453</v>
      </c>
    </row>
    <row r="2339" spans="1:9" x14ac:dyDescent="0.3">
      <c r="A2339" t="s">
        <v>10128</v>
      </c>
      <c r="B2339" t="s">
        <v>71</v>
      </c>
      <c r="C2339">
        <v>8989697390</v>
      </c>
      <c r="D2339" s="2">
        <v>1</v>
      </c>
      <c r="E2339" t="str">
        <f>"4574674200762631"</f>
        <v>4574674200762631</v>
      </c>
      <c r="F2339" t="str">
        <f>"425"</f>
        <v>425</v>
      </c>
      <c r="G2339">
        <v>1</v>
      </c>
      <c r="H2339">
        <v>2023</v>
      </c>
      <c r="I2339" t="s">
        <v>2454</v>
      </c>
    </row>
    <row r="2340" spans="1:9" x14ac:dyDescent="0.3">
      <c r="A2340" t="s">
        <v>10128</v>
      </c>
      <c r="B2340" t="s">
        <v>71</v>
      </c>
      <c r="C2340">
        <v>8989697390</v>
      </c>
      <c r="D2340" s="2">
        <v>1</v>
      </c>
      <c r="E2340" t="str">
        <f>"4574674200762482"</f>
        <v>4574674200762482</v>
      </c>
      <c r="F2340" t="str">
        <f>"718"</f>
        <v>718</v>
      </c>
      <c r="G2340">
        <v>1</v>
      </c>
      <c r="H2340">
        <v>2023</v>
      </c>
      <c r="I2340" t="s">
        <v>2455</v>
      </c>
    </row>
    <row r="2341" spans="1:9" x14ac:dyDescent="0.3">
      <c r="A2341" t="s">
        <v>10129</v>
      </c>
      <c r="B2341" t="s">
        <v>72</v>
      </c>
      <c r="C2341">
        <v>8989697390</v>
      </c>
      <c r="D2341" s="2">
        <v>1</v>
      </c>
      <c r="E2341" t="str">
        <f>"4574674200762813"</f>
        <v>4574674200762813</v>
      </c>
      <c r="F2341" t="str">
        <f>"388"</f>
        <v>388</v>
      </c>
      <c r="G2341">
        <v>1</v>
      </c>
      <c r="H2341">
        <v>2023</v>
      </c>
      <c r="I2341" t="s">
        <v>2456</v>
      </c>
    </row>
    <row r="2342" spans="1:9" x14ac:dyDescent="0.3">
      <c r="A2342" t="s">
        <v>10129</v>
      </c>
      <c r="B2342" t="s">
        <v>72</v>
      </c>
      <c r="C2342">
        <v>8989697390</v>
      </c>
      <c r="D2342" s="2">
        <v>1</v>
      </c>
      <c r="E2342" t="str">
        <f>"4574674200762714"</f>
        <v>4574674200762714</v>
      </c>
      <c r="F2342" t="str">
        <f>"183"</f>
        <v>183</v>
      </c>
      <c r="G2342">
        <v>1</v>
      </c>
      <c r="H2342">
        <v>2023</v>
      </c>
      <c r="I2342" t="s">
        <v>2457</v>
      </c>
    </row>
    <row r="2343" spans="1:9" x14ac:dyDescent="0.3">
      <c r="A2343" t="s">
        <v>10129</v>
      </c>
      <c r="B2343" t="s">
        <v>72</v>
      </c>
      <c r="C2343">
        <v>8989697390</v>
      </c>
      <c r="D2343" s="2">
        <v>1</v>
      </c>
      <c r="E2343" t="str">
        <f>"4574674200762581"</f>
        <v>4574674200762581</v>
      </c>
      <c r="F2343" t="str">
        <f>"488"</f>
        <v>488</v>
      </c>
      <c r="G2343">
        <v>1</v>
      </c>
      <c r="H2343">
        <v>2023</v>
      </c>
      <c r="I2343" t="s">
        <v>2458</v>
      </c>
    </row>
    <row r="2344" spans="1:9" x14ac:dyDescent="0.3">
      <c r="A2344" t="s">
        <v>10129</v>
      </c>
      <c r="B2344" t="s">
        <v>72</v>
      </c>
      <c r="C2344">
        <v>8989697390</v>
      </c>
      <c r="D2344" s="2">
        <v>1</v>
      </c>
      <c r="E2344" t="str">
        <f>"4574674200762524"</f>
        <v>4574674200762524</v>
      </c>
      <c r="F2344" t="str">
        <f>"060"</f>
        <v>060</v>
      </c>
      <c r="G2344">
        <v>1</v>
      </c>
      <c r="H2344">
        <v>2023</v>
      </c>
      <c r="I2344" t="s">
        <v>2459</v>
      </c>
    </row>
    <row r="2345" spans="1:9" x14ac:dyDescent="0.3">
      <c r="A2345" t="s">
        <v>10129</v>
      </c>
      <c r="B2345" t="s">
        <v>72</v>
      </c>
      <c r="C2345">
        <v>8989697390</v>
      </c>
      <c r="D2345" s="2">
        <v>1</v>
      </c>
      <c r="E2345" t="str">
        <f>"4574674200762565"</f>
        <v>4574674200762565</v>
      </c>
      <c r="F2345" t="str">
        <f>"549"</f>
        <v>549</v>
      </c>
      <c r="G2345">
        <v>1</v>
      </c>
      <c r="H2345">
        <v>2023</v>
      </c>
      <c r="I2345" t="s">
        <v>2460</v>
      </c>
    </row>
    <row r="2346" spans="1:9" x14ac:dyDescent="0.3">
      <c r="A2346" t="s">
        <v>10129</v>
      </c>
      <c r="B2346" t="s">
        <v>72</v>
      </c>
      <c r="C2346">
        <v>8989697390</v>
      </c>
      <c r="D2346" s="2">
        <v>1</v>
      </c>
      <c r="E2346" t="str">
        <f>"4574674200762508"</f>
        <v>4574674200762508</v>
      </c>
      <c r="F2346" t="str">
        <f>"923"</f>
        <v>923</v>
      </c>
      <c r="G2346">
        <v>1</v>
      </c>
      <c r="H2346">
        <v>2023</v>
      </c>
      <c r="I2346" t="s">
        <v>2461</v>
      </c>
    </row>
    <row r="2347" spans="1:9" x14ac:dyDescent="0.3">
      <c r="A2347" t="s">
        <v>10129</v>
      </c>
      <c r="B2347" t="s">
        <v>72</v>
      </c>
      <c r="C2347">
        <v>8989697390</v>
      </c>
      <c r="D2347" s="2">
        <v>1</v>
      </c>
      <c r="E2347" t="str">
        <f>"4574674200763001"</f>
        <v>4574674200763001</v>
      </c>
      <c r="F2347" t="str">
        <f>"338"</f>
        <v>338</v>
      </c>
      <c r="G2347">
        <v>1</v>
      </c>
      <c r="H2347">
        <v>2023</v>
      </c>
      <c r="I2347" t="s">
        <v>2462</v>
      </c>
    </row>
    <row r="2348" spans="1:9" x14ac:dyDescent="0.3">
      <c r="A2348" t="s">
        <v>10129</v>
      </c>
      <c r="B2348" t="s">
        <v>72</v>
      </c>
      <c r="C2348">
        <v>8989697390</v>
      </c>
      <c r="D2348" s="2">
        <v>1</v>
      </c>
      <c r="E2348" t="str">
        <f>"4574674200762946"</f>
        <v>4574674200762946</v>
      </c>
      <c r="F2348" t="str">
        <f>"317"</f>
        <v>317</v>
      </c>
      <c r="G2348">
        <v>1</v>
      </c>
      <c r="H2348">
        <v>2023</v>
      </c>
      <c r="I2348" t="s">
        <v>2463</v>
      </c>
    </row>
    <row r="2349" spans="1:9" x14ac:dyDescent="0.3">
      <c r="A2349" t="s">
        <v>10129</v>
      </c>
      <c r="B2349" t="s">
        <v>72</v>
      </c>
      <c r="C2349">
        <v>8989697390</v>
      </c>
      <c r="D2349" s="2">
        <v>1</v>
      </c>
      <c r="E2349" t="str">
        <f>"4574674200762961"</f>
        <v>4574674200762961</v>
      </c>
      <c r="F2349" t="str">
        <f>"741"</f>
        <v>741</v>
      </c>
      <c r="G2349">
        <v>1</v>
      </c>
      <c r="H2349">
        <v>2023</v>
      </c>
      <c r="I2349" t="s">
        <v>2464</v>
      </c>
    </row>
    <row r="2350" spans="1:9" x14ac:dyDescent="0.3">
      <c r="A2350" t="s">
        <v>10129</v>
      </c>
      <c r="B2350" t="s">
        <v>72</v>
      </c>
      <c r="C2350">
        <v>8989697390</v>
      </c>
      <c r="D2350" s="2">
        <v>1</v>
      </c>
      <c r="E2350" t="str">
        <f>"4574674200763282"</f>
        <v>4574674200763282</v>
      </c>
      <c r="F2350" t="str">
        <f>"910"</f>
        <v>910</v>
      </c>
      <c r="G2350">
        <v>1</v>
      </c>
      <c r="H2350">
        <v>2023</v>
      </c>
      <c r="I2350" t="s">
        <v>2465</v>
      </c>
    </row>
    <row r="2351" spans="1:9" x14ac:dyDescent="0.3">
      <c r="A2351" t="s">
        <v>10170</v>
      </c>
      <c r="B2351" t="s">
        <v>73</v>
      </c>
      <c r="C2351">
        <v>8989697390</v>
      </c>
      <c r="D2351" s="2">
        <v>1</v>
      </c>
      <c r="E2351" t="str">
        <f>"4574674200763035"</f>
        <v>4574674200763035</v>
      </c>
      <c r="F2351" t="str">
        <f>"453"</f>
        <v>453</v>
      </c>
      <c r="G2351">
        <v>1</v>
      </c>
      <c r="H2351">
        <v>2023</v>
      </c>
      <c r="I2351" t="s">
        <v>2466</v>
      </c>
    </row>
    <row r="2352" spans="1:9" x14ac:dyDescent="0.3">
      <c r="A2352" t="s">
        <v>10170</v>
      </c>
      <c r="B2352" t="s">
        <v>73</v>
      </c>
      <c r="C2352">
        <v>8989697390</v>
      </c>
      <c r="D2352" s="2">
        <v>1</v>
      </c>
      <c r="E2352" t="str">
        <f>"4574674200763118"</f>
        <v>4574674200763118</v>
      </c>
      <c r="F2352" t="str">
        <f>"264"</f>
        <v>264</v>
      </c>
      <c r="G2352">
        <v>1</v>
      </c>
      <c r="H2352">
        <v>2023</v>
      </c>
      <c r="I2352" t="s">
        <v>2467</v>
      </c>
    </row>
    <row r="2353" spans="1:9" x14ac:dyDescent="0.3">
      <c r="A2353" t="s">
        <v>10170</v>
      </c>
      <c r="B2353" t="s">
        <v>73</v>
      </c>
      <c r="C2353">
        <v>8989697390</v>
      </c>
      <c r="D2353" s="2">
        <v>1</v>
      </c>
      <c r="E2353" t="str">
        <f>"4574674200763316"</f>
        <v>4574674200763316</v>
      </c>
      <c r="F2353" t="str">
        <f>"182"</f>
        <v>182</v>
      </c>
      <c r="G2353">
        <v>1</v>
      </c>
      <c r="H2353">
        <v>2023</v>
      </c>
      <c r="I2353" t="s">
        <v>2468</v>
      </c>
    </row>
    <row r="2354" spans="1:9" x14ac:dyDescent="0.3">
      <c r="A2354" t="s">
        <v>10170</v>
      </c>
      <c r="B2354" t="s">
        <v>73</v>
      </c>
      <c r="C2354">
        <v>8989697390</v>
      </c>
      <c r="D2354" s="2">
        <v>1</v>
      </c>
      <c r="E2354" t="str">
        <f>"4574674200763076"</f>
        <v>4574674200763076</v>
      </c>
      <c r="F2354" t="str">
        <f>"757"</f>
        <v>757</v>
      </c>
      <c r="G2354">
        <v>1</v>
      </c>
      <c r="H2354">
        <v>2023</v>
      </c>
      <c r="I2354" t="s">
        <v>2469</v>
      </c>
    </row>
    <row r="2355" spans="1:9" x14ac:dyDescent="0.3">
      <c r="A2355" t="s">
        <v>10170</v>
      </c>
      <c r="B2355" t="s">
        <v>73</v>
      </c>
      <c r="C2355">
        <v>8989697390</v>
      </c>
      <c r="D2355" s="2">
        <v>1</v>
      </c>
      <c r="E2355" t="str">
        <f>"4574674200763100"</f>
        <v>4574674200763100</v>
      </c>
      <c r="F2355" t="str">
        <f>"290"</f>
        <v>290</v>
      </c>
      <c r="G2355">
        <v>1</v>
      </c>
      <c r="H2355">
        <v>2023</v>
      </c>
      <c r="I2355" t="s">
        <v>2470</v>
      </c>
    </row>
    <row r="2356" spans="1:9" x14ac:dyDescent="0.3">
      <c r="A2356" t="s">
        <v>10170</v>
      </c>
      <c r="B2356" t="s">
        <v>73</v>
      </c>
      <c r="C2356">
        <v>8989697390</v>
      </c>
      <c r="D2356" s="2">
        <v>1</v>
      </c>
      <c r="E2356" t="str">
        <f>"4574674200763134"</f>
        <v>4574674200763134</v>
      </c>
      <c r="F2356" t="str">
        <f>"179"</f>
        <v>179</v>
      </c>
      <c r="G2356">
        <v>1</v>
      </c>
      <c r="H2356">
        <v>2023</v>
      </c>
      <c r="I2356" t="s">
        <v>2471</v>
      </c>
    </row>
    <row r="2357" spans="1:9" x14ac:dyDescent="0.3">
      <c r="A2357" t="s">
        <v>10170</v>
      </c>
      <c r="B2357" t="s">
        <v>73</v>
      </c>
      <c r="C2357">
        <v>8989697390</v>
      </c>
      <c r="D2357" s="2">
        <v>1</v>
      </c>
      <c r="E2357" t="str">
        <f>"4574674200763449"</f>
        <v>4574674200763449</v>
      </c>
      <c r="F2357" t="str">
        <f>"987"</f>
        <v>987</v>
      </c>
      <c r="G2357">
        <v>1</v>
      </c>
      <c r="H2357">
        <v>2023</v>
      </c>
      <c r="I2357" t="s">
        <v>2472</v>
      </c>
    </row>
    <row r="2358" spans="1:9" x14ac:dyDescent="0.3">
      <c r="A2358" t="s">
        <v>10170</v>
      </c>
      <c r="B2358" t="s">
        <v>73</v>
      </c>
      <c r="C2358">
        <v>8989697390</v>
      </c>
      <c r="D2358" s="2">
        <v>1</v>
      </c>
      <c r="E2358" t="str">
        <f>"4574674200763472"</f>
        <v>4574674200763472</v>
      </c>
      <c r="F2358" t="str">
        <f>"322"</f>
        <v>322</v>
      </c>
      <c r="G2358">
        <v>1</v>
      </c>
      <c r="H2358">
        <v>2023</v>
      </c>
      <c r="I2358" t="s">
        <v>2473</v>
      </c>
    </row>
    <row r="2359" spans="1:9" x14ac:dyDescent="0.3">
      <c r="A2359" t="s">
        <v>10170</v>
      </c>
      <c r="B2359" t="s">
        <v>73</v>
      </c>
      <c r="C2359">
        <v>8989697390</v>
      </c>
      <c r="D2359" s="2">
        <v>1</v>
      </c>
      <c r="E2359" t="str">
        <f>"4574674200763159"</f>
        <v>4574674200763159</v>
      </c>
      <c r="F2359" t="str">
        <f>"180"</f>
        <v>180</v>
      </c>
      <c r="G2359">
        <v>1</v>
      </c>
      <c r="H2359">
        <v>2023</v>
      </c>
      <c r="I2359" t="s">
        <v>2474</v>
      </c>
    </row>
    <row r="2360" spans="1:9" x14ac:dyDescent="0.3">
      <c r="A2360" t="s">
        <v>10170</v>
      </c>
      <c r="B2360" t="s">
        <v>73</v>
      </c>
      <c r="C2360">
        <v>8989697390</v>
      </c>
      <c r="D2360" s="2">
        <v>1</v>
      </c>
      <c r="E2360" t="str">
        <f>"4574674200763597"</f>
        <v>4574674200763597</v>
      </c>
      <c r="F2360" t="str">
        <f>"350"</f>
        <v>350</v>
      </c>
      <c r="G2360">
        <v>1</v>
      </c>
      <c r="H2360">
        <v>2023</v>
      </c>
      <c r="I2360" t="s">
        <v>2475</v>
      </c>
    </row>
    <row r="2361" spans="1:9" x14ac:dyDescent="0.3">
      <c r="A2361" t="s">
        <v>10171</v>
      </c>
      <c r="B2361" t="s">
        <v>74</v>
      </c>
      <c r="C2361">
        <v>8989697390</v>
      </c>
      <c r="D2361" s="2">
        <v>1</v>
      </c>
      <c r="E2361" t="str">
        <f>"4574674200763605"</f>
        <v>4574674200763605</v>
      </c>
      <c r="F2361" t="str">
        <f>"281"</f>
        <v>281</v>
      </c>
      <c r="G2361">
        <v>1</v>
      </c>
      <c r="H2361">
        <v>2023</v>
      </c>
      <c r="I2361" t="s">
        <v>2476</v>
      </c>
    </row>
    <row r="2362" spans="1:9" x14ac:dyDescent="0.3">
      <c r="A2362" t="s">
        <v>10171</v>
      </c>
      <c r="B2362" t="s">
        <v>74</v>
      </c>
      <c r="C2362">
        <v>8989697390</v>
      </c>
      <c r="D2362" s="2">
        <v>1</v>
      </c>
      <c r="E2362" t="str">
        <f>"4574674200763191"</f>
        <v>4574674200763191</v>
      </c>
      <c r="F2362" t="str">
        <f>"449"</f>
        <v>449</v>
      </c>
      <c r="G2362">
        <v>1</v>
      </c>
      <c r="H2362">
        <v>2023</v>
      </c>
      <c r="I2362" t="s">
        <v>2477</v>
      </c>
    </row>
    <row r="2363" spans="1:9" x14ac:dyDescent="0.3">
      <c r="A2363" t="s">
        <v>10171</v>
      </c>
      <c r="B2363" t="s">
        <v>74</v>
      </c>
      <c r="C2363">
        <v>8989697390</v>
      </c>
      <c r="D2363" s="2">
        <v>1</v>
      </c>
      <c r="E2363" t="str">
        <f>"4574674200763829"</f>
        <v>4574674200763829</v>
      </c>
      <c r="F2363" t="str">
        <f>"613"</f>
        <v>613</v>
      </c>
      <c r="G2363">
        <v>1</v>
      </c>
      <c r="H2363">
        <v>2023</v>
      </c>
      <c r="I2363" t="s">
        <v>2478</v>
      </c>
    </row>
    <row r="2364" spans="1:9" x14ac:dyDescent="0.3">
      <c r="A2364" t="s">
        <v>10171</v>
      </c>
      <c r="B2364" t="s">
        <v>74</v>
      </c>
      <c r="C2364">
        <v>8989697390</v>
      </c>
      <c r="D2364" s="2">
        <v>1</v>
      </c>
      <c r="E2364" t="str">
        <f>"4574674200763811"</f>
        <v>4574674200763811</v>
      </c>
      <c r="F2364" t="str">
        <f>"336"</f>
        <v>336</v>
      </c>
      <c r="G2364">
        <v>1</v>
      </c>
      <c r="H2364">
        <v>2023</v>
      </c>
      <c r="I2364" t="s">
        <v>2479</v>
      </c>
    </row>
    <row r="2365" spans="1:9" x14ac:dyDescent="0.3">
      <c r="A2365" t="s">
        <v>10171</v>
      </c>
      <c r="B2365" t="s">
        <v>74</v>
      </c>
      <c r="C2365">
        <v>8989697390</v>
      </c>
      <c r="D2365" s="2">
        <v>1</v>
      </c>
      <c r="E2365" t="str">
        <f>"4574674200763852"</f>
        <v>4574674200763852</v>
      </c>
      <c r="F2365" t="str">
        <f>"994"</f>
        <v>994</v>
      </c>
      <c r="G2365">
        <v>1</v>
      </c>
      <c r="H2365">
        <v>2023</v>
      </c>
      <c r="I2365" t="s">
        <v>2480</v>
      </c>
    </row>
    <row r="2366" spans="1:9" x14ac:dyDescent="0.3">
      <c r="A2366" t="s">
        <v>10171</v>
      </c>
      <c r="B2366" t="s">
        <v>74</v>
      </c>
      <c r="C2366">
        <v>8989697390</v>
      </c>
      <c r="D2366" s="2">
        <v>1</v>
      </c>
      <c r="E2366" t="str">
        <f>"4574674200763720"</f>
        <v>4574674200763720</v>
      </c>
      <c r="F2366" t="str">
        <f>"061"</f>
        <v>061</v>
      </c>
      <c r="G2366">
        <v>1</v>
      </c>
      <c r="H2366">
        <v>2023</v>
      </c>
      <c r="I2366" t="s">
        <v>2481</v>
      </c>
    </row>
    <row r="2367" spans="1:9" x14ac:dyDescent="0.3">
      <c r="A2367" t="s">
        <v>10171</v>
      </c>
      <c r="B2367" t="s">
        <v>74</v>
      </c>
      <c r="C2367">
        <v>8989697390</v>
      </c>
      <c r="D2367" s="2">
        <v>1</v>
      </c>
      <c r="E2367" t="str">
        <f>"4574674200763712"</f>
        <v>4574674200763712</v>
      </c>
      <c r="F2367" t="str">
        <f>"900"</f>
        <v>900</v>
      </c>
      <c r="G2367">
        <v>1</v>
      </c>
      <c r="H2367">
        <v>2023</v>
      </c>
      <c r="I2367" t="s">
        <v>2482</v>
      </c>
    </row>
    <row r="2368" spans="1:9" x14ac:dyDescent="0.3">
      <c r="A2368" t="s">
        <v>10171</v>
      </c>
      <c r="B2368" t="s">
        <v>74</v>
      </c>
      <c r="C2368">
        <v>8989697390</v>
      </c>
      <c r="D2368" s="2">
        <v>1</v>
      </c>
      <c r="E2368" t="str">
        <f>"4574674200763886"</f>
        <v>4574674200763886</v>
      </c>
      <c r="F2368" t="str">
        <f>"494"</f>
        <v>494</v>
      </c>
      <c r="G2368">
        <v>1</v>
      </c>
      <c r="H2368">
        <v>2023</v>
      </c>
      <c r="I2368" t="s">
        <v>2483</v>
      </c>
    </row>
    <row r="2369" spans="1:9" x14ac:dyDescent="0.3">
      <c r="A2369" t="s">
        <v>10171</v>
      </c>
      <c r="B2369" t="s">
        <v>74</v>
      </c>
      <c r="C2369">
        <v>8989697390</v>
      </c>
      <c r="D2369" s="2">
        <v>1</v>
      </c>
      <c r="E2369" t="str">
        <f>"4574674200763894"</f>
        <v>4574674200763894</v>
      </c>
      <c r="F2369" t="str">
        <f>"719"</f>
        <v>719</v>
      </c>
      <c r="G2369">
        <v>1</v>
      </c>
      <c r="H2369">
        <v>2023</v>
      </c>
      <c r="I2369" t="s">
        <v>2484</v>
      </c>
    </row>
    <row r="2370" spans="1:9" x14ac:dyDescent="0.3">
      <c r="A2370" t="s">
        <v>10171</v>
      </c>
      <c r="B2370" t="s">
        <v>74</v>
      </c>
      <c r="C2370">
        <v>8989697390</v>
      </c>
      <c r="D2370" s="2">
        <v>1</v>
      </c>
      <c r="E2370" t="str">
        <f>"4574674200764108"</f>
        <v>4574674200764108</v>
      </c>
      <c r="F2370" t="str">
        <f>"564"</f>
        <v>564</v>
      </c>
      <c r="G2370">
        <v>1</v>
      </c>
      <c r="H2370">
        <v>2023</v>
      </c>
      <c r="I2370" t="s">
        <v>2485</v>
      </c>
    </row>
    <row r="2371" spans="1:9" x14ac:dyDescent="0.3">
      <c r="A2371" t="s">
        <v>10136</v>
      </c>
      <c r="B2371" t="s">
        <v>81</v>
      </c>
      <c r="C2371">
        <v>9406582649</v>
      </c>
      <c r="D2371" s="2">
        <v>1</v>
      </c>
      <c r="E2371" t="str">
        <f>"4574674200764041"</f>
        <v>4574674200764041</v>
      </c>
      <c r="F2371" t="str">
        <f>"288"</f>
        <v>288</v>
      </c>
      <c r="G2371">
        <v>1</v>
      </c>
      <c r="H2371">
        <v>2023</v>
      </c>
      <c r="I2371" t="s">
        <v>2486</v>
      </c>
    </row>
    <row r="2372" spans="1:9" x14ac:dyDescent="0.3">
      <c r="A2372" t="s">
        <v>10136</v>
      </c>
      <c r="B2372" t="s">
        <v>81</v>
      </c>
      <c r="C2372">
        <v>9406582649</v>
      </c>
      <c r="D2372" s="2">
        <v>1</v>
      </c>
      <c r="E2372" t="str">
        <f>"4574674200763944"</f>
        <v>4574674200763944</v>
      </c>
      <c r="F2372" t="str">
        <f>"342"</f>
        <v>342</v>
      </c>
      <c r="G2372">
        <v>1</v>
      </c>
      <c r="H2372">
        <v>2023</v>
      </c>
      <c r="I2372" t="s">
        <v>2487</v>
      </c>
    </row>
    <row r="2373" spans="1:9" x14ac:dyDescent="0.3">
      <c r="A2373" t="s">
        <v>10136</v>
      </c>
      <c r="B2373" t="s">
        <v>81</v>
      </c>
      <c r="C2373">
        <v>9406582649</v>
      </c>
      <c r="D2373" s="2">
        <v>1</v>
      </c>
      <c r="E2373" t="str">
        <f>"4574674200763969"</f>
        <v>4574674200763969</v>
      </c>
      <c r="F2373" t="str">
        <f>"412"</f>
        <v>412</v>
      </c>
      <c r="G2373">
        <v>1</v>
      </c>
      <c r="H2373">
        <v>2023</v>
      </c>
      <c r="I2373" t="s">
        <v>2488</v>
      </c>
    </row>
    <row r="2374" spans="1:9" x14ac:dyDescent="0.3">
      <c r="A2374" t="s">
        <v>10136</v>
      </c>
      <c r="B2374" t="s">
        <v>81</v>
      </c>
      <c r="C2374">
        <v>9406582649</v>
      </c>
      <c r="D2374" s="2">
        <v>1</v>
      </c>
      <c r="E2374" t="str">
        <f>"4574674200763977"</f>
        <v>4574674200763977</v>
      </c>
      <c r="F2374" t="str">
        <f>"541"</f>
        <v>541</v>
      </c>
      <c r="G2374">
        <v>1</v>
      </c>
      <c r="H2374">
        <v>2023</v>
      </c>
      <c r="I2374" t="s">
        <v>2489</v>
      </c>
    </row>
    <row r="2375" spans="1:9" x14ac:dyDescent="0.3">
      <c r="A2375" t="s">
        <v>10136</v>
      </c>
      <c r="B2375" t="s">
        <v>81</v>
      </c>
      <c r="C2375">
        <v>9406582649</v>
      </c>
      <c r="D2375" s="2">
        <v>1</v>
      </c>
      <c r="E2375" t="str">
        <f>"4574674200764249"</f>
        <v>4574674200764249</v>
      </c>
      <c r="F2375" t="str">
        <f>"371"</f>
        <v>371</v>
      </c>
      <c r="G2375">
        <v>1</v>
      </c>
      <c r="H2375">
        <v>2023</v>
      </c>
      <c r="I2375" t="s">
        <v>2490</v>
      </c>
    </row>
    <row r="2376" spans="1:9" x14ac:dyDescent="0.3">
      <c r="A2376" t="s">
        <v>10136</v>
      </c>
      <c r="B2376" t="s">
        <v>81</v>
      </c>
      <c r="C2376">
        <v>9406582649</v>
      </c>
      <c r="D2376" s="2">
        <v>1</v>
      </c>
      <c r="E2376" t="str">
        <f>"4574674200764264"</f>
        <v>4574674200764264</v>
      </c>
      <c r="F2376" t="str">
        <f>"777"</f>
        <v>777</v>
      </c>
      <c r="G2376">
        <v>1</v>
      </c>
      <c r="H2376">
        <v>2023</v>
      </c>
      <c r="I2376" t="s">
        <v>2491</v>
      </c>
    </row>
    <row r="2377" spans="1:9" x14ac:dyDescent="0.3">
      <c r="A2377" t="s">
        <v>10136</v>
      </c>
      <c r="B2377" t="s">
        <v>81</v>
      </c>
      <c r="C2377">
        <v>9406582649</v>
      </c>
      <c r="D2377" s="2">
        <v>1</v>
      </c>
      <c r="E2377" t="str">
        <f>"4574674200764405"</f>
        <v>4574674200764405</v>
      </c>
      <c r="F2377" t="str">
        <f>"013"</f>
        <v>013</v>
      </c>
      <c r="G2377">
        <v>1</v>
      </c>
      <c r="H2377">
        <v>2023</v>
      </c>
      <c r="I2377" t="s">
        <v>2492</v>
      </c>
    </row>
    <row r="2378" spans="1:9" x14ac:dyDescent="0.3">
      <c r="A2378" t="s">
        <v>10136</v>
      </c>
      <c r="B2378" t="s">
        <v>81</v>
      </c>
      <c r="C2378">
        <v>9406582649</v>
      </c>
      <c r="D2378" s="2">
        <v>1</v>
      </c>
      <c r="E2378" t="str">
        <f>"4574674200764421"</f>
        <v>4574674200764421</v>
      </c>
      <c r="F2378" t="str">
        <f>"138"</f>
        <v>138</v>
      </c>
      <c r="G2378">
        <v>1</v>
      </c>
      <c r="H2378">
        <v>2023</v>
      </c>
      <c r="I2378" t="s">
        <v>2493</v>
      </c>
    </row>
    <row r="2379" spans="1:9" x14ac:dyDescent="0.3">
      <c r="A2379" t="s">
        <v>10136</v>
      </c>
      <c r="B2379" t="s">
        <v>81</v>
      </c>
      <c r="C2379">
        <v>9406582649</v>
      </c>
      <c r="D2379" s="2">
        <v>1</v>
      </c>
      <c r="E2379" t="str">
        <f>"4574674200764488"</f>
        <v>4574674200764488</v>
      </c>
      <c r="F2379" t="str">
        <f>"205"</f>
        <v>205</v>
      </c>
      <c r="G2379">
        <v>1</v>
      </c>
      <c r="H2379">
        <v>2023</v>
      </c>
      <c r="I2379" t="s">
        <v>2494</v>
      </c>
    </row>
    <row r="2380" spans="1:9" x14ac:dyDescent="0.3">
      <c r="A2380" t="s">
        <v>10136</v>
      </c>
      <c r="B2380" t="s">
        <v>81</v>
      </c>
      <c r="C2380">
        <v>9406582649</v>
      </c>
      <c r="D2380" s="2">
        <v>1</v>
      </c>
      <c r="E2380" t="str">
        <f>"4574674200764454"</f>
        <v>4574674200764454</v>
      </c>
      <c r="F2380" t="str">
        <f>"762"</f>
        <v>762</v>
      </c>
      <c r="G2380">
        <v>1</v>
      </c>
      <c r="H2380">
        <v>2023</v>
      </c>
      <c r="I2380" t="s">
        <v>2495</v>
      </c>
    </row>
    <row r="2381" spans="1:9" x14ac:dyDescent="0.3">
      <c r="A2381" t="s">
        <v>10137</v>
      </c>
      <c r="B2381" t="s">
        <v>82</v>
      </c>
      <c r="C2381">
        <v>9406582649</v>
      </c>
      <c r="D2381" s="2">
        <v>1</v>
      </c>
      <c r="E2381" t="str">
        <f>"4574674200764462"</f>
        <v>4574674200764462</v>
      </c>
      <c r="F2381" t="str">
        <f>"470"</f>
        <v>470</v>
      </c>
      <c r="G2381">
        <v>1</v>
      </c>
      <c r="H2381">
        <v>2023</v>
      </c>
      <c r="I2381" t="s">
        <v>2496</v>
      </c>
    </row>
    <row r="2382" spans="1:9" x14ac:dyDescent="0.3">
      <c r="A2382" t="s">
        <v>10137</v>
      </c>
      <c r="B2382" t="s">
        <v>82</v>
      </c>
      <c r="C2382">
        <v>9406582649</v>
      </c>
      <c r="D2382" s="2">
        <v>1</v>
      </c>
      <c r="E2382" t="str">
        <f>"4574674200764629"</f>
        <v>4574674200764629</v>
      </c>
      <c r="F2382" t="str">
        <f>"745"</f>
        <v>745</v>
      </c>
      <c r="G2382">
        <v>1</v>
      </c>
      <c r="H2382">
        <v>2023</v>
      </c>
      <c r="I2382" t="s">
        <v>2497</v>
      </c>
    </row>
    <row r="2383" spans="1:9" x14ac:dyDescent="0.3">
      <c r="A2383" t="s">
        <v>10137</v>
      </c>
      <c r="B2383" t="s">
        <v>82</v>
      </c>
      <c r="C2383">
        <v>9406582649</v>
      </c>
      <c r="D2383" s="2">
        <v>1</v>
      </c>
      <c r="E2383" t="str">
        <f>"4574674200764637"</f>
        <v>4574674200764637</v>
      </c>
      <c r="F2383" t="str">
        <f>"044"</f>
        <v>044</v>
      </c>
      <c r="G2383">
        <v>1</v>
      </c>
      <c r="H2383">
        <v>2023</v>
      </c>
      <c r="I2383" t="s">
        <v>2498</v>
      </c>
    </row>
    <row r="2384" spans="1:9" x14ac:dyDescent="0.3">
      <c r="A2384" t="s">
        <v>10137</v>
      </c>
      <c r="B2384" t="s">
        <v>82</v>
      </c>
      <c r="C2384">
        <v>9406582649</v>
      </c>
      <c r="D2384" s="2">
        <v>1</v>
      </c>
      <c r="E2384" t="str">
        <f>"4574674200764504"</f>
        <v>4574674200764504</v>
      </c>
      <c r="F2384" t="str">
        <f>"014"</f>
        <v>014</v>
      </c>
      <c r="G2384">
        <v>1</v>
      </c>
      <c r="H2384">
        <v>2023</v>
      </c>
      <c r="I2384" t="s">
        <v>2499</v>
      </c>
    </row>
    <row r="2385" spans="1:9" x14ac:dyDescent="0.3">
      <c r="A2385" t="s">
        <v>10137</v>
      </c>
      <c r="B2385" t="s">
        <v>82</v>
      </c>
      <c r="C2385">
        <v>9406582649</v>
      </c>
      <c r="D2385" s="2">
        <v>1</v>
      </c>
      <c r="E2385" t="str">
        <f>"4574674200764546"</f>
        <v>4574674200764546</v>
      </c>
      <c r="F2385" t="str">
        <f>"140"</f>
        <v>140</v>
      </c>
      <c r="G2385">
        <v>1</v>
      </c>
      <c r="H2385">
        <v>2023</v>
      </c>
      <c r="I2385" t="s">
        <v>2500</v>
      </c>
    </row>
    <row r="2386" spans="1:9" x14ac:dyDescent="0.3">
      <c r="A2386" t="s">
        <v>10137</v>
      </c>
      <c r="B2386" t="s">
        <v>82</v>
      </c>
      <c r="C2386">
        <v>9406582649</v>
      </c>
      <c r="D2386" s="2">
        <v>1</v>
      </c>
      <c r="E2386" t="str">
        <f>"4574674200764785"</f>
        <v>4574674200764785</v>
      </c>
      <c r="F2386" t="str">
        <f>"327"</f>
        <v>327</v>
      </c>
      <c r="G2386">
        <v>1</v>
      </c>
      <c r="H2386">
        <v>2023</v>
      </c>
      <c r="I2386" t="s">
        <v>2501</v>
      </c>
    </row>
    <row r="2387" spans="1:9" x14ac:dyDescent="0.3">
      <c r="A2387" t="s">
        <v>10137</v>
      </c>
      <c r="B2387" t="s">
        <v>82</v>
      </c>
      <c r="C2387">
        <v>9406582649</v>
      </c>
      <c r="D2387" s="2">
        <v>1</v>
      </c>
      <c r="E2387" t="str">
        <f>"4574674200764587"</f>
        <v>4574674200764587</v>
      </c>
      <c r="F2387" t="str">
        <f>"106"</f>
        <v>106</v>
      </c>
      <c r="G2387">
        <v>1</v>
      </c>
      <c r="H2387">
        <v>2023</v>
      </c>
      <c r="I2387" t="s">
        <v>2502</v>
      </c>
    </row>
    <row r="2388" spans="1:9" x14ac:dyDescent="0.3">
      <c r="A2388" t="s">
        <v>10137</v>
      </c>
      <c r="B2388" t="s">
        <v>82</v>
      </c>
      <c r="C2388">
        <v>9406582649</v>
      </c>
      <c r="D2388" s="2">
        <v>1</v>
      </c>
      <c r="E2388" t="str">
        <f>"4574674200764595"</f>
        <v>4574674200764595</v>
      </c>
      <c r="F2388" t="str">
        <f>"707"</f>
        <v>707</v>
      </c>
      <c r="G2388">
        <v>1</v>
      </c>
      <c r="H2388">
        <v>2023</v>
      </c>
      <c r="I2388" t="s">
        <v>2503</v>
      </c>
    </row>
    <row r="2389" spans="1:9" x14ac:dyDescent="0.3">
      <c r="A2389" t="s">
        <v>10137</v>
      </c>
      <c r="B2389" t="s">
        <v>82</v>
      </c>
      <c r="C2389">
        <v>9406582649</v>
      </c>
      <c r="D2389" s="2">
        <v>1</v>
      </c>
      <c r="E2389" t="str">
        <f>"4574674200764579"</f>
        <v>4574674200764579</v>
      </c>
      <c r="F2389" t="str">
        <f>"009"</f>
        <v>009</v>
      </c>
      <c r="G2389">
        <v>1</v>
      </c>
      <c r="H2389">
        <v>2023</v>
      </c>
      <c r="I2389" t="s">
        <v>2504</v>
      </c>
    </row>
    <row r="2390" spans="1:9" x14ac:dyDescent="0.3">
      <c r="A2390" t="s">
        <v>10137</v>
      </c>
      <c r="B2390" t="s">
        <v>82</v>
      </c>
      <c r="C2390">
        <v>9406582649</v>
      </c>
      <c r="D2390" s="2">
        <v>1</v>
      </c>
      <c r="E2390" t="str">
        <f>"4574674200764793"</f>
        <v>4574674200764793</v>
      </c>
      <c r="F2390" t="str">
        <f>"447"</f>
        <v>447</v>
      </c>
      <c r="G2390">
        <v>1</v>
      </c>
      <c r="H2390">
        <v>2023</v>
      </c>
      <c r="I2390" t="s">
        <v>2505</v>
      </c>
    </row>
    <row r="2391" spans="1:9" x14ac:dyDescent="0.3">
      <c r="A2391" t="s">
        <v>10138</v>
      </c>
      <c r="B2391" t="s">
        <v>83</v>
      </c>
      <c r="C2391">
        <v>9406582649</v>
      </c>
      <c r="D2391" s="2">
        <v>1</v>
      </c>
      <c r="E2391" t="str">
        <f>"4574674200764850"</f>
        <v>4574674200764850</v>
      </c>
      <c r="F2391" t="str">
        <f>"568"</f>
        <v>568</v>
      </c>
      <c r="G2391">
        <v>1</v>
      </c>
      <c r="H2391">
        <v>2023</v>
      </c>
      <c r="I2391" t="s">
        <v>2506</v>
      </c>
    </row>
    <row r="2392" spans="1:9" x14ac:dyDescent="0.3">
      <c r="A2392" t="s">
        <v>10138</v>
      </c>
      <c r="B2392" t="s">
        <v>83</v>
      </c>
      <c r="C2392">
        <v>9406582649</v>
      </c>
      <c r="D2392" s="2">
        <v>1</v>
      </c>
      <c r="E2392" t="str">
        <f>"4574674200765139"</f>
        <v>4574674200765139</v>
      </c>
      <c r="F2392" t="str">
        <f>"543"</f>
        <v>543</v>
      </c>
      <c r="G2392">
        <v>1</v>
      </c>
      <c r="H2392">
        <v>2023</v>
      </c>
      <c r="I2392" t="s">
        <v>2507</v>
      </c>
    </row>
    <row r="2393" spans="1:9" x14ac:dyDescent="0.3">
      <c r="A2393" t="s">
        <v>10138</v>
      </c>
      <c r="B2393" t="s">
        <v>83</v>
      </c>
      <c r="C2393">
        <v>9406582649</v>
      </c>
      <c r="D2393" s="2">
        <v>1</v>
      </c>
      <c r="E2393" t="str">
        <f>"4574674200765204"</f>
        <v>4574674200765204</v>
      </c>
      <c r="F2393" t="str">
        <f>"011"</f>
        <v>011</v>
      </c>
      <c r="G2393">
        <v>1</v>
      </c>
      <c r="H2393">
        <v>2023</v>
      </c>
      <c r="I2393" t="s">
        <v>2508</v>
      </c>
    </row>
    <row r="2394" spans="1:9" x14ac:dyDescent="0.3">
      <c r="A2394" t="s">
        <v>10138</v>
      </c>
      <c r="B2394" t="s">
        <v>83</v>
      </c>
      <c r="C2394">
        <v>9406582649</v>
      </c>
      <c r="D2394" s="2">
        <v>1</v>
      </c>
      <c r="E2394" t="str">
        <f>"4574674200764868"</f>
        <v>4574674200764868</v>
      </c>
      <c r="F2394" t="str">
        <f>"582"</f>
        <v>582</v>
      </c>
      <c r="G2394">
        <v>1</v>
      </c>
      <c r="H2394">
        <v>2023</v>
      </c>
      <c r="I2394" t="s">
        <v>2509</v>
      </c>
    </row>
    <row r="2395" spans="1:9" x14ac:dyDescent="0.3">
      <c r="A2395" t="s">
        <v>10138</v>
      </c>
      <c r="B2395" t="s">
        <v>83</v>
      </c>
      <c r="C2395">
        <v>9406582649</v>
      </c>
      <c r="D2395" s="2">
        <v>1</v>
      </c>
      <c r="E2395" t="str">
        <f>"4574674200764876"</f>
        <v>4574674200764876</v>
      </c>
      <c r="F2395" t="str">
        <f>"354"</f>
        <v>354</v>
      </c>
      <c r="G2395">
        <v>1</v>
      </c>
      <c r="H2395">
        <v>2023</v>
      </c>
      <c r="I2395" t="s">
        <v>2510</v>
      </c>
    </row>
    <row r="2396" spans="1:9" x14ac:dyDescent="0.3">
      <c r="A2396" t="s">
        <v>10138</v>
      </c>
      <c r="B2396" t="s">
        <v>83</v>
      </c>
      <c r="C2396">
        <v>9406582649</v>
      </c>
      <c r="D2396" s="2">
        <v>1</v>
      </c>
      <c r="E2396" t="str">
        <f>"4574674200764900"</f>
        <v>4574674200764900</v>
      </c>
      <c r="F2396" t="str">
        <f>"822"</f>
        <v>822</v>
      </c>
      <c r="G2396">
        <v>1</v>
      </c>
      <c r="H2396">
        <v>2023</v>
      </c>
      <c r="I2396" t="s">
        <v>2511</v>
      </c>
    </row>
    <row r="2397" spans="1:9" x14ac:dyDescent="0.3">
      <c r="A2397" t="s">
        <v>10138</v>
      </c>
      <c r="B2397" t="s">
        <v>83</v>
      </c>
      <c r="C2397">
        <v>9406582649</v>
      </c>
      <c r="D2397" s="2">
        <v>1</v>
      </c>
      <c r="E2397" t="str">
        <f>"4574674200764918"</f>
        <v>4574674200764918</v>
      </c>
      <c r="F2397" t="str">
        <f>"138"</f>
        <v>138</v>
      </c>
      <c r="G2397">
        <v>1</v>
      </c>
      <c r="H2397">
        <v>2023</v>
      </c>
      <c r="I2397" t="s">
        <v>2512</v>
      </c>
    </row>
    <row r="2398" spans="1:9" x14ac:dyDescent="0.3">
      <c r="A2398" t="s">
        <v>10138</v>
      </c>
      <c r="B2398" t="s">
        <v>83</v>
      </c>
      <c r="C2398">
        <v>9406582649</v>
      </c>
      <c r="D2398" s="2">
        <v>1</v>
      </c>
      <c r="E2398" t="str">
        <f>"4574674200765295"</f>
        <v>4574674200765295</v>
      </c>
      <c r="F2398" t="str">
        <f>"007"</f>
        <v>007</v>
      </c>
      <c r="G2398">
        <v>1</v>
      </c>
      <c r="H2398">
        <v>2023</v>
      </c>
      <c r="I2398" t="s">
        <v>2513</v>
      </c>
    </row>
    <row r="2399" spans="1:9" x14ac:dyDescent="0.3">
      <c r="A2399" t="s">
        <v>10138</v>
      </c>
      <c r="B2399" t="s">
        <v>83</v>
      </c>
      <c r="C2399">
        <v>9406582649</v>
      </c>
      <c r="D2399" s="2">
        <v>1</v>
      </c>
      <c r="E2399" t="str">
        <f>"4574674200764959"</f>
        <v>4574674200764959</v>
      </c>
      <c r="F2399" t="str">
        <f>"525"</f>
        <v>525</v>
      </c>
      <c r="G2399">
        <v>1</v>
      </c>
      <c r="H2399">
        <v>2023</v>
      </c>
      <c r="I2399" t="s">
        <v>2514</v>
      </c>
    </row>
    <row r="2400" spans="1:9" x14ac:dyDescent="0.3">
      <c r="A2400" t="s">
        <v>10138</v>
      </c>
      <c r="B2400" t="s">
        <v>83</v>
      </c>
      <c r="C2400">
        <v>9406582649</v>
      </c>
      <c r="D2400" s="2">
        <v>1</v>
      </c>
      <c r="E2400" t="str">
        <f>"4574674200765394"</f>
        <v>4574674200765394</v>
      </c>
      <c r="F2400" t="str">
        <f>"776"</f>
        <v>776</v>
      </c>
      <c r="G2400">
        <v>1</v>
      </c>
      <c r="H2400">
        <v>2023</v>
      </c>
      <c r="I2400" t="s">
        <v>2515</v>
      </c>
    </row>
    <row r="2401" spans="1:9" x14ac:dyDescent="0.3">
      <c r="A2401" t="s">
        <v>10139</v>
      </c>
      <c r="B2401" t="s">
        <v>84</v>
      </c>
      <c r="C2401">
        <v>9406582649</v>
      </c>
      <c r="D2401" s="2">
        <v>1</v>
      </c>
      <c r="E2401" t="str">
        <f>"4574674200764991"</f>
        <v>4574674200764991</v>
      </c>
      <c r="F2401" t="str">
        <f>"374"</f>
        <v>374</v>
      </c>
      <c r="G2401">
        <v>1</v>
      </c>
      <c r="H2401">
        <v>2023</v>
      </c>
      <c r="I2401" t="s">
        <v>2516</v>
      </c>
    </row>
    <row r="2402" spans="1:9" x14ac:dyDescent="0.3">
      <c r="A2402" t="s">
        <v>10139</v>
      </c>
      <c r="B2402" t="s">
        <v>84</v>
      </c>
      <c r="C2402">
        <v>9406582649</v>
      </c>
      <c r="D2402" s="2">
        <v>1</v>
      </c>
      <c r="E2402" t="str">
        <f>"4574674200765600"</f>
        <v>4574674200765600</v>
      </c>
      <c r="F2402" t="str">
        <f>"112"</f>
        <v>112</v>
      </c>
      <c r="G2402">
        <v>1</v>
      </c>
      <c r="H2402">
        <v>2023</v>
      </c>
      <c r="I2402" t="s">
        <v>2517</v>
      </c>
    </row>
    <row r="2403" spans="1:9" x14ac:dyDescent="0.3">
      <c r="A2403" t="s">
        <v>10139</v>
      </c>
      <c r="B2403" t="s">
        <v>84</v>
      </c>
      <c r="C2403">
        <v>9406582649</v>
      </c>
      <c r="D2403" s="2">
        <v>1</v>
      </c>
      <c r="E2403" t="str">
        <f>"4574674200765634"</f>
        <v>4574674200765634</v>
      </c>
      <c r="F2403" t="str">
        <f>"746"</f>
        <v>746</v>
      </c>
      <c r="G2403">
        <v>1</v>
      </c>
      <c r="H2403">
        <v>2023</v>
      </c>
      <c r="I2403" t="s">
        <v>2518</v>
      </c>
    </row>
    <row r="2404" spans="1:9" x14ac:dyDescent="0.3">
      <c r="A2404" t="s">
        <v>10139</v>
      </c>
      <c r="B2404" t="s">
        <v>84</v>
      </c>
      <c r="C2404">
        <v>9406582649</v>
      </c>
      <c r="D2404" s="2">
        <v>1</v>
      </c>
      <c r="E2404" t="str">
        <f>"4574674200765642"</f>
        <v>4574674200765642</v>
      </c>
      <c r="F2404" t="str">
        <f>"714"</f>
        <v>714</v>
      </c>
      <c r="G2404">
        <v>1</v>
      </c>
      <c r="H2404">
        <v>2023</v>
      </c>
      <c r="I2404" t="s">
        <v>2519</v>
      </c>
    </row>
    <row r="2405" spans="1:9" x14ac:dyDescent="0.3">
      <c r="A2405" t="s">
        <v>10139</v>
      </c>
      <c r="B2405" t="s">
        <v>84</v>
      </c>
      <c r="C2405">
        <v>9406582649</v>
      </c>
      <c r="D2405" s="2">
        <v>1</v>
      </c>
      <c r="E2405" t="str">
        <f>"4574674200765451"</f>
        <v>4574674200765451</v>
      </c>
      <c r="F2405" t="str">
        <f>"979"</f>
        <v>979</v>
      </c>
      <c r="G2405">
        <v>1</v>
      </c>
      <c r="H2405">
        <v>2023</v>
      </c>
      <c r="I2405" t="s">
        <v>2520</v>
      </c>
    </row>
    <row r="2406" spans="1:9" x14ac:dyDescent="0.3">
      <c r="A2406" t="s">
        <v>10139</v>
      </c>
      <c r="B2406" t="s">
        <v>84</v>
      </c>
      <c r="C2406">
        <v>9406582649</v>
      </c>
      <c r="D2406" s="2">
        <v>1</v>
      </c>
      <c r="E2406" t="str">
        <f>"4574674200765527"</f>
        <v>4574674200765527</v>
      </c>
      <c r="F2406" t="str">
        <f>"593"</f>
        <v>593</v>
      </c>
      <c r="G2406">
        <v>1</v>
      </c>
      <c r="H2406">
        <v>2023</v>
      </c>
      <c r="I2406" t="s">
        <v>2521</v>
      </c>
    </row>
    <row r="2407" spans="1:9" x14ac:dyDescent="0.3">
      <c r="A2407" t="s">
        <v>10139</v>
      </c>
      <c r="B2407" t="s">
        <v>84</v>
      </c>
      <c r="C2407">
        <v>9406582649</v>
      </c>
      <c r="D2407" s="2">
        <v>1</v>
      </c>
      <c r="E2407" t="str">
        <f>"4574674200765683"</f>
        <v>4574674200765683</v>
      </c>
      <c r="F2407" t="str">
        <f>"238"</f>
        <v>238</v>
      </c>
      <c r="G2407">
        <v>1</v>
      </c>
      <c r="H2407">
        <v>2023</v>
      </c>
      <c r="I2407" t="s">
        <v>2522</v>
      </c>
    </row>
    <row r="2408" spans="1:9" x14ac:dyDescent="0.3">
      <c r="A2408" t="s">
        <v>10139</v>
      </c>
      <c r="B2408" t="s">
        <v>84</v>
      </c>
      <c r="C2408">
        <v>9406582649</v>
      </c>
      <c r="D2408" s="2">
        <v>1</v>
      </c>
      <c r="E2408" t="str">
        <f>"4574674200765816"</f>
        <v>4574674200765816</v>
      </c>
      <c r="F2408" t="str">
        <f>"450"</f>
        <v>450</v>
      </c>
      <c r="G2408">
        <v>1</v>
      </c>
      <c r="H2408">
        <v>2023</v>
      </c>
      <c r="I2408" t="s">
        <v>2523</v>
      </c>
    </row>
    <row r="2409" spans="1:9" x14ac:dyDescent="0.3">
      <c r="A2409" t="s">
        <v>10139</v>
      </c>
      <c r="B2409" t="s">
        <v>84</v>
      </c>
      <c r="C2409">
        <v>9406582649</v>
      </c>
      <c r="D2409" s="2">
        <v>1</v>
      </c>
      <c r="E2409" t="str">
        <f>"4574674200765881"</f>
        <v>4574674200765881</v>
      </c>
      <c r="F2409" t="str">
        <f>"887"</f>
        <v>887</v>
      </c>
      <c r="G2409">
        <v>1</v>
      </c>
      <c r="H2409">
        <v>2023</v>
      </c>
      <c r="I2409" t="s">
        <v>2524</v>
      </c>
    </row>
    <row r="2410" spans="1:9" x14ac:dyDescent="0.3">
      <c r="A2410" t="s">
        <v>10139</v>
      </c>
      <c r="B2410" t="s">
        <v>84</v>
      </c>
      <c r="C2410">
        <v>9406582649</v>
      </c>
      <c r="D2410" s="2">
        <v>1</v>
      </c>
      <c r="E2410" t="str">
        <f>"4574674200765717"</f>
        <v>4574674200765717</v>
      </c>
      <c r="F2410" t="str">
        <f>"796"</f>
        <v>796</v>
      </c>
      <c r="G2410">
        <v>1</v>
      </c>
      <c r="H2410">
        <v>2023</v>
      </c>
      <c r="I2410" t="s">
        <v>2525</v>
      </c>
    </row>
    <row r="2411" spans="1:9" x14ac:dyDescent="0.3">
      <c r="A2411" t="s">
        <v>10138</v>
      </c>
      <c r="B2411" t="s">
        <v>83</v>
      </c>
      <c r="C2411">
        <v>9406582649</v>
      </c>
      <c r="D2411" s="2">
        <v>1</v>
      </c>
      <c r="E2411" t="str">
        <f>"4574674200765725"</f>
        <v>4574674200765725</v>
      </c>
      <c r="F2411" t="str">
        <f>"104"</f>
        <v>104</v>
      </c>
      <c r="G2411">
        <v>1</v>
      </c>
      <c r="H2411">
        <v>2023</v>
      </c>
      <c r="I2411" t="s">
        <v>2526</v>
      </c>
    </row>
    <row r="2412" spans="1:9" x14ac:dyDescent="0.3">
      <c r="A2412" t="s">
        <v>10138</v>
      </c>
      <c r="B2412" t="s">
        <v>83</v>
      </c>
      <c r="C2412">
        <v>9406582649</v>
      </c>
      <c r="D2412" s="2">
        <v>1</v>
      </c>
      <c r="E2412" t="str">
        <f>"4574674200765758"</f>
        <v>4574674200765758</v>
      </c>
      <c r="F2412" t="str">
        <f>"518"</f>
        <v>518</v>
      </c>
      <c r="G2412">
        <v>1</v>
      </c>
      <c r="H2412">
        <v>2023</v>
      </c>
      <c r="I2412" t="s">
        <v>2527</v>
      </c>
    </row>
    <row r="2413" spans="1:9" x14ac:dyDescent="0.3">
      <c r="A2413" t="s">
        <v>10138</v>
      </c>
      <c r="B2413" t="s">
        <v>83</v>
      </c>
      <c r="C2413">
        <v>9406582649</v>
      </c>
      <c r="D2413" s="2">
        <v>1</v>
      </c>
      <c r="E2413" t="str">
        <f>"4574674200765766"</f>
        <v>4574674200765766</v>
      </c>
      <c r="F2413" t="str">
        <f>"449"</f>
        <v>449</v>
      </c>
      <c r="G2413">
        <v>1</v>
      </c>
      <c r="H2413">
        <v>2023</v>
      </c>
      <c r="I2413" t="s">
        <v>2528</v>
      </c>
    </row>
    <row r="2414" spans="1:9" x14ac:dyDescent="0.3">
      <c r="A2414" t="s">
        <v>10138</v>
      </c>
      <c r="B2414" t="s">
        <v>83</v>
      </c>
      <c r="C2414">
        <v>9406582649</v>
      </c>
      <c r="D2414" s="2">
        <v>1</v>
      </c>
      <c r="E2414" t="str">
        <f>"4574674200765980"</f>
        <v>4574674200765980</v>
      </c>
      <c r="F2414" t="str">
        <f>"270"</f>
        <v>270</v>
      </c>
      <c r="G2414">
        <v>1</v>
      </c>
      <c r="H2414">
        <v>2023</v>
      </c>
      <c r="I2414" t="s">
        <v>2529</v>
      </c>
    </row>
    <row r="2415" spans="1:9" x14ac:dyDescent="0.3">
      <c r="A2415" t="s">
        <v>10138</v>
      </c>
      <c r="B2415" t="s">
        <v>83</v>
      </c>
      <c r="C2415">
        <v>9406582649</v>
      </c>
      <c r="D2415" s="2">
        <v>1</v>
      </c>
      <c r="E2415" t="str">
        <f>"4574674200765998"</f>
        <v>4574674200765998</v>
      </c>
      <c r="F2415" t="str">
        <f>"812"</f>
        <v>812</v>
      </c>
      <c r="G2415">
        <v>1</v>
      </c>
      <c r="H2415">
        <v>2023</v>
      </c>
      <c r="I2415" t="s">
        <v>2530</v>
      </c>
    </row>
    <row r="2416" spans="1:9" x14ac:dyDescent="0.3">
      <c r="A2416" t="s">
        <v>10138</v>
      </c>
      <c r="B2416" t="s">
        <v>83</v>
      </c>
      <c r="C2416">
        <v>9406582649</v>
      </c>
      <c r="D2416" s="2">
        <v>1</v>
      </c>
      <c r="E2416" t="str">
        <f>"4574674200765790"</f>
        <v>4574674200765790</v>
      </c>
      <c r="F2416" t="str">
        <f>"121"</f>
        <v>121</v>
      </c>
      <c r="G2416">
        <v>1</v>
      </c>
      <c r="H2416">
        <v>2023</v>
      </c>
      <c r="I2416" t="s">
        <v>2531</v>
      </c>
    </row>
    <row r="2417" spans="1:9" x14ac:dyDescent="0.3">
      <c r="A2417" t="s">
        <v>10138</v>
      </c>
      <c r="B2417" t="s">
        <v>83</v>
      </c>
      <c r="C2417">
        <v>9406582649</v>
      </c>
      <c r="D2417" s="2">
        <v>1</v>
      </c>
      <c r="E2417" t="str">
        <f>"4574674200766152"</f>
        <v>4574674200766152</v>
      </c>
      <c r="F2417" t="str">
        <f>"996"</f>
        <v>996</v>
      </c>
      <c r="G2417">
        <v>1</v>
      </c>
      <c r="H2417">
        <v>2023</v>
      </c>
      <c r="I2417" t="s">
        <v>2532</v>
      </c>
    </row>
    <row r="2418" spans="1:9" x14ac:dyDescent="0.3">
      <c r="A2418" t="s">
        <v>10138</v>
      </c>
      <c r="B2418" t="s">
        <v>83</v>
      </c>
      <c r="C2418">
        <v>9406582649</v>
      </c>
      <c r="D2418" s="2">
        <v>1</v>
      </c>
      <c r="E2418" t="str">
        <f>"4574674200766160"</f>
        <v>4574674200766160</v>
      </c>
      <c r="F2418" t="str">
        <f>"914"</f>
        <v>914</v>
      </c>
      <c r="G2418">
        <v>1</v>
      </c>
      <c r="H2418">
        <v>2023</v>
      </c>
      <c r="I2418" t="s">
        <v>2533</v>
      </c>
    </row>
    <row r="2419" spans="1:9" x14ac:dyDescent="0.3">
      <c r="A2419" t="s">
        <v>10138</v>
      </c>
      <c r="B2419" t="s">
        <v>83</v>
      </c>
      <c r="C2419">
        <v>9406582649</v>
      </c>
      <c r="D2419" s="2">
        <v>1</v>
      </c>
      <c r="E2419" t="str">
        <f>"4574674200766236"</f>
        <v>4574674200766236</v>
      </c>
      <c r="F2419" t="str">
        <f>"786"</f>
        <v>786</v>
      </c>
      <c r="G2419">
        <v>1</v>
      </c>
      <c r="H2419">
        <v>2023</v>
      </c>
      <c r="I2419" t="s">
        <v>2534</v>
      </c>
    </row>
    <row r="2420" spans="1:9" x14ac:dyDescent="0.3">
      <c r="A2420" t="s">
        <v>10138</v>
      </c>
      <c r="B2420" t="s">
        <v>83</v>
      </c>
      <c r="C2420">
        <v>9406582649</v>
      </c>
      <c r="D2420" s="2">
        <v>1</v>
      </c>
      <c r="E2420" t="str">
        <f>"4574674200766244"</f>
        <v>4574674200766244</v>
      </c>
      <c r="F2420" t="str">
        <f>"522"</f>
        <v>522</v>
      </c>
      <c r="G2420">
        <v>1</v>
      </c>
      <c r="H2420">
        <v>2023</v>
      </c>
      <c r="I2420" t="s">
        <v>2535</v>
      </c>
    </row>
    <row r="2421" spans="1:9" x14ac:dyDescent="0.3">
      <c r="A2421" t="s">
        <v>10140</v>
      </c>
      <c r="B2421" t="s">
        <v>85</v>
      </c>
      <c r="C2421">
        <v>9406582649</v>
      </c>
      <c r="D2421" s="2">
        <v>1</v>
      </c>
      <c r="E2421" t="str">
        <f>"4574674200766269"</f>
        <v>4574674200766269</v>
      </c>
      <c r="F2421" t="str">
        <f>"532"</f>
        <v>532</v>
      </c>
      <c r="G2421">
        <v>1</v>
      </c>
      <c r="H2421">
        <v>2023</v>
      </c>
      <c r="I2421" t="s">
        <v>2536</v>
      </c>
    </row>
    <row r="2422" spans="1:9" x14ac:dyDescent="0.3">
      <c r="A2422" t="s">
        <v>10140</v>
      </c>
      <c r="B2422" t="s">
        <v>85</v>
      </c>
      <c r="C2422">
        <v>9406582649</v>
      </c>
      <c r="D2422" s="2">
        <v>1</v>
      </c>
      <c r="E2422" t="str">
        <f>"4574674200766285"</f>
        <v>4574674200766285</v>
      </c>
      <c r="F2422" t="str">
        <f>"641"</f>
        <v>641</v>
      </c>
      <c r="G2422">
        <v>1</v>
      </c>
      <c r="H2422">
        <v>2023</v>
      </c>
      <c r="I2422" t="s">
        <v>2537</v>
      </c>
    </row>
    <row r="2423" spans="1:9" x14ac:dyDescent="0.3">
      <c r="A2423" t="s">
        <v>10140</v>
      </c>
      <c r="B2423" t="s">
        <v>85</v>
      </c>
      <c r="C2423">
        <v>9406582649</v>
      </c>
      <c r="D2423" s="2">
        <v>1</v>
      </c>
      <c r="E2423" t="str">
        <f>"4574674200766319"</f>
        <v>4574674200766319</v>
      </c>
      <c r="F2423" t="str">
        <f>"102"</f>
        <v>102</v>
      </c>
      <c r="G2423">
        <v>1</v>
      </c>
      <c r="H2423">
        <v>2023</v>
      </c>
      <c r="I2423" t="s">
        <v>2538</v>
      </c>
    </row>
    <row r="2424" spans="1:9" x14ac:dyDescent="0.3">
      <c r="A2424" t="s">
        <v>10140</v>
      </c>
      <c r="B2424" t="s">
        <v>85</v>
      </c>
      <c r="C2424">
        <v>9406582649</v>
      </c>
      <c r="D2424" s="2">
        <v>1</v>
      </c>
      <c r="E2424" t="str">
        <f>"4574674200766525"</f>
        <v>4574674200766525</v>
      </c>
      <c r="F2424" t="str">
        <f>"768"</f>
        <v>768</v>
      </c>
      <c r="G2424">
        <v>1</v>
      </c>
      <c r="H2424">
        <v>2023</v>
      </c>
      <c r="I2424" t="s">
        <v>2539</v>
      </c>
    </row>
    <row r="2425" spans="1:9" x14ac:dyDescent="0.3">
      <c r="A2425" t="s">
        <v>10140</v>
      </c>
      <c r="B2425" t="s">
        <v>85</v>
      </c>
      <c r="C2425">
        <v>9406582649</v>
      </c>
      <c r="D2425" s="2">
        <v>1</v>
      </c>
      <c r="E2425" t="str">
        <f>"4574674200766533"</f>
        <v>4574674200766533</v>
      </c>
      <c r="F2425" t="str">
        <f>"912"</f>
        <v>912</v>
      </c>
      <c r="G2425">
        <v>1</v>
      </c>
      <c r="H2425">
        <v>2023</v>
      </c>
      <c r="I2425" t="s">
        <v>2540</v>
      </c>
    </row>
    <row r="2426" spans="1:9" x14ac:dyDescent="0.3">
      <c r="A2426" t="s">
        <v>10140</v>
      </c>
      <c r="B2426" t="s">
        <v>85</v>
      </c>
      <c r="C2426">
        <v>9406582649</v>
      </c>
      <c r="D2426" s="2">
        <v>1</v>
      </c>
      <c r="E2426" t="str">
        <f>"4574674200766681"</f>
        <v>4574674200766681</v>
      </c>
      <c r="F2426" t="str">
        <f>"500"</f>
        <v>500</v>
      </c>
      <c r="G2426">
        <v>1</v>
      </c>
      <c r="H2426">
        <v>2023</v>
      </c>
      <c r="I2426" t="s">
        <v>2541</v>
      </c>
    </row>
    <row r="2427" spans="1:9" x14ac:dyDescent="0.3">
      <c r="A2427" t="s">
        <v>10140</v>
      </c>
      <c r="B2427" t="s">
        <v>85</v>
      </c>
      <c r="C2427">
        <v>9406582649</v>
      </c>
      <c r="D2427" s="2">
        <v>1</v>
      </c>
      <c r="E2427" t="str">
        <f>"4574674200766715"</f>
        <v>4574674200766715</v>
      </c>
      <c r="F2427" t="str">
        <f>"737"</f>
        <v>737</v>
      </c>
      <c r="G2427">
        <v>1</v>
      </c>
      <c r="H2427">
        <v>2023</v>
      </c>
      <c r="I2427" t="s">
        <v>2542</v>
      </c>
    </row>
    <row r="2428" spans="1:9" x14ac:dyDescent="0.3">
      <c r="A2428" t="s">
        <v>10140</v>
      </c>
      <c r="B2428" t="s">
        <v>85</v>
      </c>
      <c r="C2428">
        <v>9406582649</v>
      </c>
      <c r="D2428" s="2">
        <v>1</v>
      </c>
      <c r="E2428" t="str">
        <f>"4574674200766368"</f>
        <v>4574674200766368</v>
      </c>
      <c r="F2428" t="str">
        <f>"950"</f>
        <v>950</v>
      </c>
      <c r="G2428">
        <v>1</v>
      </c>
      <c r="H2428">
        <v>2023</v>
      </c>
      <c r="I2428" t="s">
        <v>2543</v>
      </c>
    </row>
    <row r="2429" spans="1:9" x14ac:dyDescent="0.3">
      <c r="A2429" t="s">
        <v>10140</v>
      </c>
      <c r="B2429" t="s">
        <v>85</v>
      </c>
      <c r="C2429">
        <v>9406582649</v>
      </c>
      <c r="D2429" s="2">
        <v>1</v>
      </c>
      <c r="E2429" t="str">
        <f>"4574674200766376"</f>
        <v>4574674200766376</v>
      </c>
      <c r="F2429" t="str">
        <f>"035"</f>
        <v>035</v>
      </c>
      <c r="G2429">
        <v>1</v>
      </c>
      <c r="H2429">
        <v>2023</v>
      </c>
      <c r="I2429" t="s">
        <v>2544</v>
      </c>
    </row>
    <row r="2430" spans="1:9" x14ac:dyDescent="0.3">
      <c r="A2430" t="s">
        <v>10140</v>
      </c>
      <c r="B2430" t="s">
        <v>85</v>
      </c>
      <c r="C2430">
        <v>9406582649</v>
      </c>
      <c r="D2430" s="2">
        <v>1</v>
      </c>
      <c r="E2430" t="str">
        <f>"4574674200766350"</f>
        <v>4574674200766350</v>
      </c>
      <c r="F2430" t="str">
        <f>"858"</f>
        <v>858</v>
      </c>
      <c r="G2430">
        <v>1</v>
      </c>
      <c r="H2430">
        <v>2023</v>
      </c>
      <c r="I2430" t="s">
        <v>2545</v>
      </c>
    </row>
    <row r="2431" spans="1:9" x14ac:dyDescent="0.3">
      <c r="A2431" t="s">
        <v>10141</v>
      </c>
      <c r="B2431" t="s">
        <v>86</v>
      </c>
      <c r="C2431">
        <v>9406582649</v>
      </c>
      <c r="D2431" s="2">
        <v>1</v>
      </c>
      <c r="E2431" t="str">
        <f>"4574674200766392"</f>
        <v>4574674200766392</v>
      </c>
      <c r="F2431" t="str">
        <f>"235"</f>
        <v>235</v>
      </c>
      <c r="G2431">
        <v>1</v>
      </c>
      <c r="H2431">
        <v>2023</v>
      </c>
      <c r="I2431" t="s">
        <v>2546</v>
      </c>
    </row>
    <row r="2432" spans="1:9" x14ac:dyDescent="0.3">
      <c r="A2432" t="s">
        <v>10141</v>
      </c>
      <c r="B2432" t="s">
        <v>86</v>
      </c>
      <c r="C2432">
        <v>9406582649</v>
      </c>
      <c r="D2432" s="2">
        <v>1</v>
      </c>
      <c r="E2432" t="str">
        <f>"4574674200766830"</f>
        <v>4574674200766830</v>
      </c>
      <c r="F2432" t="str">
        <f>"106"</f>
        <v>106</v>
      </c>
      <c r="G2432">
        <v>1</v>
      </c>
      <c r="H2432">
        <v>2023</v>
      </c>
      <c r="I2432" t="s">
        <v>2547</v>
      </c>
    </row>
    <row r="2433" spans="1:9" x14ac:dyDescent="0.3">
      <c r="A2433" t="s">
        <v>10141</v>
      </c>
      <c r="B2433" t="s">
        <v>86</v>
      </c>
      <c r="C2433">
        <v>9406582649</v>
      </c>
      <c r="D2433" s="2">
        <v>1</v>
      </c>
      <c r="E2433" t="str">
        <f>"4574674200767036"</f>
        <v>4574674200767036</v>
      </c>
      <c r="F2433" t="str">
        <f>"146"</f>
        <v>146</v>
      </c>
      <c r="G2433">
        <v>1</v>
      </c>
      <c r="H2433">
        <v>2023</v>
      </c>
      <c r="I2433" t="s">
        <v>2548</v>
      </c>
    </row>
    <row r="2434" spans="1:9" x14ac:dyDescent="0.3">
      <c r="A2434" t="s">
        <v>10141</v>
      </c>
      <c r="B2434" t="s">
        <v>86</v>
      </c>
      <c r="C2434">
        <v>9406582649</v>
      </c>
      <c r="D2434" s="2">
        <v>1</v>
      </c>
      <c r="E2434" t="str">
        <f>"4574674200767077"</f>
        <v>4574674200767077</v>
      </c>
      <c r="F2434" t="str">
        <f>"502"</f>
        <v>502</v>
      </c>
      <c r="G2434">
        <v>1</v>
      </c>
      <c r="H2434">
        <v>2023</v>
      </c>
      <c r="I2434" t="s">
        <v>2549</v>
      </c>
    </row>
    <row r="2435" spans="1:9" x14ac:dyDescent="0.3">
      <c r="A2435" t="s">
        <v>10141</v>
      </c>
      <c r="B2435" t="s">
        <v>86</v>
      </c>
      <c r="C2435">
        <v>9406582649</v>
      </c>
      <c r="D2435" s="2">
        <v>1</v>
      </c>
      <c r="E2435" t="str">
        <f>"4574674200766905"</f>
        <v>4574674200766905</v>
      </c>
      <c r="F2435" t="str">
        <f>"299"</f>
        <v>299</v>
      </c>
      <c r="G2435">
        <v>1</v>
      </c>
      <c r="H2435">
        <v>2023</v>
      </c>
      <c r="I2435" t="s">
        <v>2550</v>
      </c>
    </row>
    <row r="2436" spans="1:9" x14ac:dyDescent="0.3">
      <c r="A2436" t="s">
        <v>10141</v>
      </c>
      <c r="B2436" t="s">
        <v>86</v>
      </c>
      <c r="C2436">
        <v>9406582649</v>
      </c>
      <c r="D2436" s="2">
        <v>1</v>
      </c>
      <c r="E2436" t="str">
        <f>"4574674200766871"</f>
        <v>4574674200766871</v>
      </c>
      <c r="F2436" t="str">
        <f>"738"</f>
        <v>738</v>
      </c>
      <c r="G2436">
        <v>1</v>
      </c>
      <c r="H2436">
        <v>2023</v>
      </c>
      <c r="I2436" t="s">
        <v>2551</v>
      </c>
    </row>
    <row r="2437" spans="1:9" x14ac:dyDescent="0.3">
      <c r="A2437" t="s">
        <v>10141</v>
      </c>
      <c r="B2437" t="s">
        <v>86</v>
      </c>
      <c r="C2437">
        <v>9406582649</v>
      </c>
      <c r="D2437" s="2">
        <v>1</v>
      </c>
      <c r="E2437" t="str">
        <f>"4574674200766889"</f>
        <v>4574674200766889</v>
      </c>
      <c r="F2437" t="str">
        <f>"757"</f>
        <v>757</v>
      </c>
      <c r="G2437">
        <v>1</v>
      </c>
      <c r="H2437">
        <v>2023</v>
      </c>
      <c r="I2437" t="s">
        <v>2552</v>
      </c>
    </row>
    <row r="2438" spans="1:9" x14ac:dyDescent="0.3">
      <c r="A2438" t="s">
        <v>10141</v>
      </c>
      <c r="B2438" t="s">
        <v>86</v>
      </c>
      <c r="C2438">
        <v>9406582649</v>
      </c>
      <c r="D2438" s="2">
        <v>1</v>
      </c>
      <c r="E2438" t="str">
        <f>"4574674200766897"</f>
        <v>4574674200766897</v>
      </c>
      <c r="F2438" t="str">
        <f>"344"</f>
        <v>344</v>
      </c>
      <c r="G2438">
        <v>1</v>
      </c>
      <c r="H2438">
        <v>2023</v>
      </c>
      <c r="I2438" t="s">
        <v>2553</v>
      </c>
    </row>
    <row r="2439" spans="1:9" x14ac:dyDescent="0.3">
      <c r="A2439" t="s">
        <v>10141</v>
      </c>
      <c r="B2439" t="s">
        <v>86</v>
      </c>
      <c r="C2439">
        <v>9406582649</v>
      </c>
      <c r="D2439" s="2">
        <v>1</v>
      </c>
      <c r="E2439" t="str">
        <f>"4574674200767168"</f>
        <v>4574674200767168</v>
      </c>
      <c r="F2439" t="str">
        <f>"247"</f>
        <v>247</v>
      </c>
      <c r="G2439">
        <v>1</v>
      </c>
      <c r="H2439">
        <v>2023</v>
      </c>
      <c r="I2439" t="s">
        <v>2554</v>
      </c>
    </row>
    <row r="2440" spans="1:9" x14ac:dyDescent="0.3">
      <c r="A2440" t="s">
        <v>10141</v>
      </c>
      <c r="B2440" t="s">
        <v>86</v>
      </c>
      <c r="C2440">
        <v>9406582649</v>
      </c>
      <c r="D2440" s="2">
        <v>1</v>
      </c>
      <c r="E2440" t="str">
        <f>"4574674200767218"</f>
        <v>4574674200767218</v>
      </c>
      <c r="F2440" t="str">
        <f>"948"</f>
        <v>948</v>
      </c>
      <c r="G2440">
        <v>1</v>
      </c>
      <c r="H2440">
        <v>2023</v>
      </c>
      <c r="I2440" t="s">
        <v>2555</v>
      </c>
    </row>
    <row r="2441" spans="1:9" x14ac:dyDescent="0.3">
      <c r="A2441" t="s">
        <v>10142</v>
      </c>
      <c r="B2441" t="s">
        <v>87</v>
      </c>
      <c r="C2441">
        <v>9406582649</v>
      </c>
      <c r="D2441" s="2">
        <v>1</v>
      </c>
      <c r="E2441" t="str">
        <f>"4574674200766988"</f>
        <v>4574674200766988</v>
      </c>
      <c r="F2441" t="str">
        <f>"547"</f>
        <v>547</v>
      </c>
      <c r="G2441">
        <v>1</v>
      </c>
      <c r="H2441">
        <v>2023</v>
      </c>
      <c r="I2441" t="s">
        <v>2556</v>
      </c>
    </row>
    <row r="2442" spans="1:9" x14ac:dyDescent="0.3">
      <c r="A2442" t="s">
        <v>10142</v>
      </c>
      <c r="B2442" t="s">
        <v>87</v>
      </c>
      <c r="C2442">
        <v>9406582649</v>
      </c>
      <c r="D2442" s="2">
        <v>1</v>
      </c>
      <c r="E2442" t="str">
        <f>"4574674200767291"</f>
        <v>4574674200767291</v>
      </c>
      <c r="F2442" t="str">
        <f>"665"</f>
        <v>665</v>
      </c>
      <c r="G2442">
        <v>1</v>
      </c>
      <c r="H2442">
        <v>2023</v>
      </c>
      <c r="I2442" t="s">
        <v>2557</v>
      </c>
    </row>
    <row r="2443" spans="1:9" x14ac:dyDescent="0.3">
      <c r="A2443" t="s">
        <v>10142</v>
      </c>
      <c r="B2443" t="s">
        <v>87</v>
      </c>
      <c r="C2443">
        <v>9406582649</v>
      </c>
      <c r="D2443" s="2">
        <v>1</v>
      </c>
      <c r="E2443" t="str">
        <f>"4574674200767333"</f>
        <v>4574674200767333</v>
      </c>
      <c r="F2443" t="str">
        <f>"448"</f>
        <v>448</v>
      </c>
      <c r="G2443">
        <v>1</v>
      </c>
      <c r="H2443">
        <v>2023</v>
      </c>
      <c r="I2443" t="s">
        <v>2558</v>
      </c>
    </row>
    <row r="2444" spans="1:9" x14ac:dyDescent="0.3">
      <c r="A2444" t="s">
        <v>10142</v>
      </c>
      <c r="B2444" t="s">
        <v>87</v>
      </c>
      <c r="C2444">
        <v>9406582649</v>
      </c>
      <c r="D2444" s="2">
        <v>1</v>
      </c>
      <c r="E2444" t="str">
        <f>"4574674200766996"</f>
        <v>4574674200766996</v>
      </c>
      <c r="F2444" t="str">
        <f>"538"</f>
        <v>538</v>
      </c>
      <c r="G2444">
        <v>1</v>
      </c>
      <c r="H2444">
        <v>2023</v>
      </c>
      <c r="I2444" t="s">
        <v>2559</v>
      </c>
    </row>
    <row r="2445" spans="1:9" x14ac:dyDescent="0.3">
      <c r="A2445" t="s">
        <v>10142</v>
      </c>
      <c r="B2445" t="s">
        <v>87</v>
      </c>
      <c r="C2445">
        <v>9406582649</v>
      </c>
      <c r="D2445" s="2">
        <v>1</v>
      </c>
      <c r="E2445" t="str">
        <f>"4574674200767416"</f>
        <v>4574674200767416</v>
      </c>
      <c r="F2445" t="str">
        <f>"084"</f>
        <v>084</v>
      </c>
      <c r="G2445">
        <v>1</v>
      </c>
      <c r="H2445">
        <v>2023</v>
      </c>
      <c r="I2445" t="s">
        <v>2560</v>
      </c>
    </row>
    <row r="2446" spans="1:9" x14ac:dyDescent="0.3">
      <c r="A2446" t="s">
        <v>10142</v>
      </c>
      <c r="B2446" t="s">
        <v>87</v>
      </c>
      <c r="C2446">
        <v>9406582649</v>
      </c>
      <c r="D2446" s="2">
        <v>1</v>
      </c>
      <c r="E2446" t="str">
        <f>"4574674200767440"</f>
        <v>4574674200767440</v>
      </c>
      <c r="F2446" t="str">
        <f>"018"</f>
        <v>018</v>
      </c>
      <c r="G2446">
        <v>1</v>
      </c>
      <c r="H2446">
        <v>2023</v>
      </c>
      <c r="I2446" t="s">
        <v>2561</v>
      </c>
    </row>
    <row r="2447" spans="1:9" x14ac:dyDescent="0.3">
      <c r="A2447" t="s">
        <v>10142</v>
      </c>
      <c r="B2447" t="s">
        <v>87</v>
      </c>
      <c r="C2447">
        <v>9406582649</v>
      </c>
      <c r="D2447" s="2">
        <v>1</v>
      </c>
      <c r="E2447" t="str">
        <f>"4574674200767465"</f>
        <v>4574674200767465</v>
      </c>
      <c r="F2447" t="str">
        <f>"995"</f>
        <v>995</v>
      </c>
      <c r="G2447">
        <v>1</v>
      </c>
      <c r="H2447">
        <v>2023</v>
      </c>
      <c r="I2447" t="s">
        <v>2562</v>
      </c>
    </row>
    <row r="2448" spans="1:9" x14ac:dyDescent="0.3">
      <c r="A2448" t="s">
        <v>10142</v>
      </c>
      <c r="B2448" t="s">
        <v>87</v>
      </c>
      <c r="C2448">
        <v>9406582649</v>
      </c>
      <c r="D2448" s="2">
        <v>1</v>
      </c>
      <c r="E2448" t="str">
        <f>"4574674200767671"</f>
        <v>4574674200767671</v>
      </c>
      <c r="F2448" t="str">
        <f>"945"</f>
        <v>945</v>
      </c>
      <c r="G2448">
        <v>1</v>
      </c>
      <c r="H2448">
        <v>2023</v>
      </c>
      <c r="I2448" t="s">
        <v>2563</v>
      </c>
    </row>
    <row r="2449" spans="1:9" x14ac:dyDescent="0.3">
      <c r="A2449" t="s">
        <v>10142</v>
      </c>
      <c r="B2449" t="s">
        <v>87</v>
      </c>
      <c r="C2449">
        <v>9406582649</v>
      </c>
      <c r="D2449" s="2">
        <v>1</v>
      </c>
      <c r="E2449" t="str">
        <f>"4574674200767499"</f>
        <v>4574674200767499</v>
      </c>
      <c r="F2449" t="str">
        <f>"952"</f>
        <v>952</v>
      </c>
      <c r="G2449">
        <v>1</v>
      </c>
      <c r="H2449">
        <v>2023</v>
      </c>
      <c r="I2449" t="s">
        <v>2564</v>
      </c>
    </row>
    <row r="2450" spans="1:9" x14ac:dyDescent="0.3">
      <c r="A2450" t="s">
        <v>10142</v>
      </c>
      <c r="B2450" t="s">
        <v>87</v>
      </c>
      <c r="C2450">
        <v>9406582649</v>
      </c>
      <c r="D2450" s="2">
        <v>1</v>
      </c>
      <c r="E2450" t="str">
        <f>"4574674200767697"</f>
        <v>4574674200767697</v>
      </c>
      <c r="F2450" t="str">
        <f>"912"</f>
        <v>912</v>
      </c>
      <c r="G2450">
        <v>1</v>
      </c>
      <c r="H2450">
        <v>2023</v>
      </c>
      <c r="I2450" t="s">
        <v>2565</v>
      </c>
    </row>
    <row r="2451" spans="1:9" x14ac:dyDescent="0.3">
      <c r="A2451" t="s">
        <v>10143</v>
      </c>
      <c r="B2451" t="s">
        <v>88</v>
      </c>
      <c r="C2451">
        <v>9406582649</v>
      </c>
      <c r="D2451" s="2">
        <v>1</v>
      </c>
      <c r="E2451" t="str">
        <f>"4574674200767515"</f>
        <v>4574674200767515</v>
      </c>
      <c r="F2451" t="str">
        <f>"936"</f>
        <v>936</v>
      </c>
      <c r="G2451">
        <v>1</v>
      </c>
      <c r="H2451">
        <v>2023</v>
      </c>
      <c r="I2451" t="s">
        <v>2566</v>
      </c>
    </row>
    <row r="2452" spans="1:9" x14ac:dyDescent="0.3">
      <c r="A2452" t="s">
        <v>10143</v>
      </c>
      <c r="B2452" t="s">
        <v>88</v>
      </c>
      <c r="C2452">
        <v>9406582649</v>
      </c>
      <c r="D2452" s="2">
        <v>1</v>
      </c>
      <c r="E2452" t="str">
        <f>"4574674200767549"</f>
        <v>4574674200767549</v>
      </c>
      <c r="F2452" t="str">
        <f>"098"</f>
        <v>098</v>
      </c>
      <c r="G2452">
        <v>1</v>
      </c>
      <c r="H2452">
        <v>2023</v>
      </c>
      <c r="I2452" t="s">
        <v>2567</v>
      </c>
    </row>
    <row r="2453" spans="1:9" x14ac:dyDescent="0.3">
      <c r="A2453" t="s">
        <v>10143</v>
      </c>
      <c r="B2453" t="s">
        <v>88</v>
      </c>
      <c r="C2453">
        <v>9406582649</v>
      </c>
      <c r="D2453" s="2">
        <v>1</v>
      </c>
      <c r="E2453" t="str">
        <f>"4574674200767564"</f>
        <v>4574674200767564</v>
      </c>
      <c r="F2453" t="str">
        <f>"843"</f>
        <v>843</v>
      </c>
      <c r="G2453">
        <v>1</v>
      </c>
      <c r="H2453">
        <v>2023</v>
      </c>
      <c r="I2453" t="s">
        <v>2568</v>
      </c>
    </row>
    <row r="2454" spans="1:9" x14ac:dyDescent="0.3">
      <c r="A2454" t="s">
        <v>10143</v>
      </c>
      <c r="B2454" t="s">
        <v>88</v>
      </c>
      <c r="C2454">
        <v>9406582649</v>
      </c>
      <c r="D2454" s="2">
        <v>1</v>
      </c>
      <c r="E2454" t="str">
        <f>"4574674200767846"</f>
        <v>4574674200767846</v>
      </c>
      <c r="F2454" t="str">
        <f>"454"</f>
        <v>454</v>
      </c>
      <c r="G2454">
        <v>1</v>
      </c>
      <c r="H2454">
        <v>2023</v>
      </c>
      <c r="I2454" t="s">
        <v>2569</v>
      </c>
    </row>
    <row r="2455" spans="1:9" x14ac:dyDescent="0.3">
      <c r="A2455" t="s">
        <v>10143</v>
      </c>
      <c r="B2455" t="s">
        <v>88</v>
      </c>
      <c r="C2455">
        <v>9406582649</v>
      </c>
      <c r="D2455" s="2">
        <v>1</v>
      </c>
      <c r="E2455" t="str">
        <f>"4574674200767861"</f>
        <v>4574674200767861</v>
      </c>
      <c r="F2455" t="str">
        <f>"617"</f>
        <v>617</v>
      </c>
      <c r="G2455">
        <v>1</v>
      </c>
      <c r="H2455">
        <v>2023</v>
      </c>
      <c r="I2455" t="s">
        <v>2570</v>
      </c>
    </row>
    <row r="2456" spans="1:9" x14ac:dyDescent="0.3">
      <c r="A2456" t="s">
        <v>10143</v>
      </c>
      <c r="B2456" t="s">
        <v>88</v>
      </c>
      <c r="C2456">
        <v>9406582649</v>
      </c>
      <c r="D2456" s="2">
        <v>1</v>
      </c>
      <c r="E2456" t="str">
        <f>"4574674200767598"</f>
        <v>4574674200767598</v>
      </c>
      <c r="F2456" t="str">
        <f>"910"</f>
        <v>910</v>
      </c>
      <c r="G2456">
        <v>1</v>
      </c>
      <c r="H2456">
        <v>2023</v>
      </c>
      <c r="I2456" t="s">
        <v>2571</v>
      </c>
    </row>
    <row r="2457" spans="1:9" x14ac:dyDescent="0.3">
      <c r="A2457" t="s">
        <v>10143</v>
      </c>
      <c r="B2457" t="s">
        <v>88</v>
      </c>
      <c r="C2457">
        <v>9406582649</v>
      </c>
      <c r="D2457" s="2">
        <v>1</v>
      </c>
      <c r="E2457" t="str">
        <f>"4574674200768018"</f>
        <v>4574674200768018</v>
      </c>
      <c r="F2457" t="str">
        <f>"292"</f>
        <v>292</v>
      </c>
      <c r="G2457">
        <v>1</v>
      </c>
      <c r="H2457">
        <v>2023</v>
      </c>
      <c r="I2457" t="s">
        <v>2572</v>
      </c>
    </row>
    <row r="2458" spans="1:9" x14ac:dyDescent="0.3">
      <c r="A2458" t="s">
        <v>10143</v>
      </c>
      <c r="B2458" t="s">
        <v>88</v>
      </c>
      <c r="C2458">
        <v>9406582649</v>
      </c>
      <c r="D2458" s="2">
        <v>1</v>
      </c>
      <c r="E2458" t="str">
        <f>"4574674200768034"</f>
        <v>4574674200768034</v>
      </c>
      <c r="F2458" t="str">
        <f>"263"</f>
        <v>263</v>
      </c>
      <c r="G2458">
        <v>1</v>
      </c>
      <c r="H2458">
        <v>2023</v>
      </c>
      <c r="I2458" t="s">
        <v>2573</v>
      </c>
    </row>
    <row r="2459" spans="1:9" x14ac:dyDescent="0.3">
      <c r="A2459" t="s">
        <v>10143</v>
      </c>
      <c r="B2459" t="s">
        <v>88</v>
      </c>
      <c r="C2459">
        <v>9406582649</v>
      </c>
      <c r="D2459" s="2">
        <v>1</v>
      </c>
      <c r="E2459" t="str">
        <f>"4574674200768208"</f>
        <v>4574674200768208</v>
      </c>
      <c r="F2459" t="str">
        <f>"968"</f>
        <v>968</v>
      </c>
      <c r="G2459">
        <v>1</v>
      </c>
      <c r="H2459">
        <v>2023</v>
      </c>
      <c r="I2459" t="s">
        <v>2574</v>
      </c>
    </row>
    <row r="2460" spans="1:9" x14ac:dyDescent="0.3">
      <c r="A2460" t="s">
        <v>10143</v>
      </c>
      <c r="B2460" t="s">
        <v>88</v>
      </c>
      <c r="C2460">
        <v>9406582649</v>
      </c>
      <c r="D2460" s="2">
        <v>1</v>
      </c>
      <c r="E2460" t="str">
        <f>"4574674200768067"</f>
        <v>4574674200768067</v>
      </c>
      <c r="F2460" t="str">
        <f>"027"</f>
        <v>027</v>
      </c>
      <c r="G2460">
        <v>1</v>
      </c>
      <c r="H2460">
        <v>2023</v>
      </c>
      <c r="I2460" t="s">
        <v>2575</v>
      </c>
    </row>
    <row r="2461" spans="1:9" x14ac:dyDescent="0.3">
      <c r="A2461" t="s">
        <v>10144</v>
      </c>
      <c r="B2461" t="s">
        <v>89</v>
      </c>
      <c r="C2461">
        <v>9406582649</v>
      </c>
      <c r="D2461" s="2">
        <v>1</v>
      </c>
      <c r="E2461" t="str">
        <f>"4574674200768273"</f>
        <v>4574674200768273</v>
      </c>
      <c r="F2461" t="str">
        <f>"317"</f>
        <v>317</v>
      </c>
      <c r="G2461">
        <v>1</v>
      </c>
      <c r="H2461">
        <v>2023</v>
      </c>
      <c r="I2461" t="s">
        <v>2576</v>
      </c>
    </row>
    <row r="2462" spans="1:9" x14ac:dyDescent="0.3">
      <c r="A2462" t="s">
        <v>10144</v>
      </c>
      <c r="B2462" t="s">
        <v>89</v>
      </c>
      <c r="C2462">
        <v>9406582649</v>
      </c>
      <c r="D2462" s="2">
        <v>1</v>
      </c>
      <c r="E2462" t="str">
        <f>"4574674200768083"</f>
        <v>4574674200768083</v>
      </c>
      <c r="F2462" t="str">
        <f>"610"</f>
        <v>610</v>
      </c>
      <c r="G2462">
        <v>1</v>
      </c>
      <c r="H2462">
        <v>2023</v>
      </c>
      <c r="I2462" t="s">
        <v>2577</v>
      </c>
    </row>
    <row r="2463" spans="1:9" x14ac:dyDescent="0.3">
      <c r="A2463" t="s">
        <v>10144</v>
      </c>
      <c r="B2463" t="s">
        <v>89</v>
      </c>
      <c r="C2463">
        <v>9406582649</v>
      </c>
      <c r="D2463" s="2">
        <v>1</v>
      </c>
      <c r="E2463" t="str">
        <f>"4574674200768133"</f>
        <v>4574674200768133</v>
      </c>
      <c r="F2463" t="str">
        <f>"318"</f>
        <v>318</v>
      </c>
      <c r="G2463">
        <v>1</v>
      </c>
      <c r="H2463">
        <v>2023</v>
      </c>
      <c r="I2463" t="s">
        <v>2578</v>
      </c>
    </row>
    <row r="2464" spans="1:9" x14ac:dyDescent="0.3">
      <c r="A2464" t="s">
        <v>10144</v>
      </c>
      <c r="B2464" t="s">
        <v>89</v>
      </c>
      <c r="C2464">
        <v>9406582649</v>
      </c>
      <c r="D2464" s="2">
        <v>1</v>
      </c>
      <c r="E2464" t="str">
        <f>"4574674200768141"</f>
        <v>4574674200768141</v>
      </c>
      <c r="F2464" t="str">
        <f>"993"</f>
        <v>993</v>
      </c>
      <c r="G2464">
        <v>1</v>
      </c>
      <c r="H2464">
        <v>2023</v>
      </c>
      <c r="I2464" t="s">
        <v>2579</v>
      </c>
    </row>
    <row r="2465" spans="1:9" x14ac:dyDescent="0.3">
      <c r="A2465" t="s">
        <v>10144</v>
      </c>
      <c r="B2465" t="s">
        <v>89</v>
      </c>
      <c r="C2465">
        <v>9406582649</v>
      </c>
      <c r="D2465" s="2">
        <v>1</v>
      </c>
      <c r="E2465" t="str">
        <f>"4574674200768356"</f>
        <v>4574674200768356</v>
      </c>
      <c r="F2465" t="str">
        <f>"299"</f>
        <v>299</v>
      </c>
      <c r="G2465">
        <v>1</v>
      </c>
      <c r="H2465">
        <v>2023</v>
      </c>
      <c r="I2465" t="s">
        <v>2580</v>
      </c>
    </row>
    <row r="2466" spans="1:9" x14ac:dyDescent="0.3">
      <c r="A2466" t="s">
        <v>10144</v>
      </c>
      <c r="B2466" t="s">
        <v>89</v>
      </c>
      <c r="C2466">
        <v>9406582649</v>
      </c>
      <c r="D2466" s="2">
        <v>1</v>
      </c>
      <c r="E2466" t="str">
        <f>"4574674200768158"</f>
        <v>4574674200768158</v>
      </c>
      <c r="F2466" t="str">
        <f>"861"</f>
        <v>861</v>
      </c>
      <c r="G2466">
        <v>1</v>
      </c>
      <c r="H2466">
        <v>2023</v>
      </c>
      <c r="I2466" t="s">
        <v>2581</v>
      </c>
    </row>
    <row r="2467" spans="1:9" x14ac:dyDescent="0.3">
      <c r="A2467" t="s">
        <v>10144</v>
      </c>
      <c r="B2467" t="s">
        <v>89</v>
      </c>
      <c r="C2467">
        <v>9406582649</v>
      </c>
      <c r="D2467" s="2">
        <v>1</v>
      </c>
      <c r="E2467" t="str">
        <f>"4574674200768448"</f>
        <v>4574674200768448</v>
      </c>
      <c r="F2467" t="str">
        <f>"868"</f>
        <v>868</v>
      </c>
      <c r="G2467">
        <v>1</v>
      </c>
      <c r="H2467">
        <v>2023</v>
      </c>
      <c r="I2467" t="s">
        <v>2582</v>
      </c>
    </row>
    <row r="2468" spans="1:9" x14ac:dyDescent="0.3">
      <c r="A2468" t="s">
        <v>10144</v>
      </c>
      <c r="B2468" t="s">
        <v>89</v>
      </c>
      <c r="C2468">
        <v>9406582649</v>
      </c>
      <c r="D2468" s="2">
        <v>1</v>
      </c>
      <c r="E2468" t="str">
        <f>"4574674200768174"</f>
        <v>4574674200768174</v>
      </c>
      <c r="F2468" t="str">
        <f>"365"</f>
        <v>365</v>
      </c>
      <c r="G2468">
        <v>1</v>
      </c>
      <c r="H2468">
        <v>2023</v>
      </c>
      <c r="I2468" t="s">
        <v>2583</v>
      </c>
    </row>
    <row r="2469" spans="1:9" x14ac:dyDescent="0.3">
      <c r="A2469" t="s">
        <v>10144</v>
      </c>
      <c r="B2469" t="s">
        <v>89</v>
      </c>
      <c r="C2469">
        <v>9406582649</v>
      </c>
      <c r="D2469" s="2">
        <v>1</v>
      </c>
      <c r="E2469" t="str">
        <f>"4574674200768471"</f>
        <v>4574674200768471</v>
      </c>
      <c r="F2469" t="str">
        <f>"271"</f>
        <v>271</v>
      </c>
      <c r="G2469">
        <v>1</v>
      </c>
      <c r="H2469">
        <v>2023</v>
      </c>
      <c r="I2469" t="s">
        <v>2584</v>
      </c>
    </row>
    <row r="2470" spans="1:9" x14ac:dyDescent="0.3">
      <c r="A2470" t="s">
        <v>10144</v>
      </c>
      <c r="B2470" t="s">
        <v>89</v>
      </c>
      <c r="C2470">
        <v>9406582649</v>
      </c>
      <c r="D2470" s="2">
        <v>1</v>
      </c>
      <c r="E2470" t="str">
        <f>"4574674200768620"</f>
        <v>4574674200768620</v>
      </c>
      <c r="F2470" t="str">
        <f>"862"</f>
        <v>862</v>
      </c>
      <c r="G2470">
        <v>1</v>
      </c>
      <c r="H2470">
        <v>2023</v>
      </c>
      <c r="I2470" t="s">
        <v>2585</v>
      </c>
    </row>
    <row r="2471" spans="1:9" x14ac:dyDescent="0.3">
      <c r="A2471" t="s">
        <v>10145</v>
      </c>
      <c r="B2471" t="s">
        <v>90</v>
      </c>
      <c r="C2471">
        <v>9406582649</v>
      </c>
      <c r="D2471" s="2">
        <v>1</v>
      </c>
      <c r="E2471" t="str">
        <f>"4574674200768653"</f>
        <v>4574674200768653</v>
      </c>
      <c r="F2471" t="str">
        <f>"446"</f>
        <v>446</v>
      </c>
      <c r="G2471">
        <v>1</v>
      </c>
      <c r="H2471">
        <v>2023</v>
      </c>
      <c r="I2471" t="s">
        <v>2586</v>
      </c>
    </row>
    <row r="2472" spans="1:9" x14ac:dyDescent="0.3">
      <c r="A2472" t="s">
        <v>10145</v>
      </c>
      <c r="B2472" t="s">
        <v>90</v>
      </c>
      <c r="C2472">
        <v>9406582649</v>
      </c>
      <c r="D2472" s="2">
        <v>1</v>
      </c>
      <c r="E2472" t="str">
        <f>"4574674200768661"</f>
        <v>4574674200768661</v>
      </c>
      <c r="F2472" t="str">
        <f>"831"</f>
        <v>831</v>
      </c>
      <c r="G2472">
        <v>1</v>
      </c>
      <c r="H2472">
        <v>2023</v>
      </c>
      <c r="I2472" t="s">
        <v>2587</v>
      </c>
    </row>
    <row r="2473" spans="1:9" x14ac:dyDescent="0.3">
      <c r="A2473" t="s">
        <v>10145</v>
      </c>
      <c r="B2473" t="s">
        <v>90</v>
      </c>
      <c r="C2473">
        <v>9406582649</v>
      </c>
      <c r="D2473" s="2">
        <v>1</v>
      </c>
      <c r="E2473" t="str">
        <f>"4574674200768570"</f>
        <v>4574674200768570</v>
      </c>
      <c r="F2473" t="str">
        <f>"291"</f>
        <v>291</v>
      </c>
      <c r="G2473">
        <v>1</v>
      </c>
      <c r="H2473">
        <v>2023</v>
      </c>
      <c r="I2473" t="s">
        <v>2588</v>
      </c>
    </row>
    <row r="2474" spans="1:9" x14ac:dyDescent="0.3">
      <c r="A2474" t="s">
        <v>10145</v>
      </c>
      <c r="B2474" t="s">
        <v>90</v>
      </c>
      <c r="C2474">
        <v>9406582649</v>
      </c>
      <c r="D2474" s="2">
        <v>1</v>
      </c>
      <c r="E2474" t="str">
        <f>"4574674200768679"</f>
        <v>4574674200768679</v>
      </c>
      <c r="F2474" t="str">
        <f>"670"</f>
        <v>670</v>
      </c>
      <c r="G2474">
        <v>1</v>
      </c>
      <c r="H2474">
        <v>2023</v>
      </c>
      <c r="I2474" t="s">
        <v>2589</v>
      </c>
    </row>
    <row r="2475" spans="1:9" x14ac:dyDescent="0.3">
      <c r="A2475" t="s">
        <v>10145</v>
      </c>
      <c r="B2475" t="s">
        <v>90</v>
      </c>
      <c r="C2475">
        <v>9406582649</v>
      </c>
      <c r="D2475" s="2">
        <v>1</v>
      </c>
      <c r="E2475" t="str">
        <f>"4574674200768695"</f>
        <v>4574674200768695</v>
      </c>
      <c r="F2475" t="str">
        <f>"252"</f>
        <v>252</v>
      </c>
      <c r="G2475">
        <v>1</v>
      </c>
      <c r="H2475">
        <v>2023</v>
      </c>
      <c r="I2475" t="s">
        <v>2590</v>
      </c>
    </row>
    <row r="2476" spans="1:9" x14ac:dyDescent="0.3">
      <c r="A2476" t="s">
        <v>10145</v>
      </c>
      <c r="B2476" t="s">
        <v>90</v>
      </c>
      <c r="C2476">
        <v>9406582649</v>
      </c>
      <c r="D2476" s="2">
        <v>1</v>
      </c>
      <c r="E2476" t="str">
        <f>"4574674200768893"</f>
        <v>4574674200768893</v>
      </c>
      <c r="F2476" t="str">
        <f>"557"</f>
        <v>557</v>
      </c>
      <c r="G2476">
        <v>1</v>
      </c>
      <c r="H2476">
        <v>2023</v>
      </c>
      <c r="I2476" t="s">
        <v>2591</v>
      </c>
    </row>
    <row r="2477" spans="1:9" x14ac:dyDescent="0.3">
      <c r="A2477" t="s">
        <v>10145</v>
      </c>
      <c r="B2477" t="s">
        <v>90</v>
      </c>
      <c r="C2477">
        <v>9406582649</v>
      </c>
      <c r="D2477" s="2">
        <v>1</v>
      </c>
      <c r="E2477" t="str">
        <f>"4574674200768745"</f>
        <v>4574674200768745</v>
      </c>
      <c r="F2477" t="str">
        <f>"693"</f>
        <v>693</v>
      </c>
      <c r="G2477">
        <v>1</v>
      </c>
      <c r="H2477">
        <v>2023</v>
      </c>
      <c r="I2477" t="s">
        <v>2592</v>
      </c>
    </row>
    <row r="2478" spans="1:9" x14ac:dyDescent="0.3">
      <c r="A2478" t="s">
        <v>10145</v>
      </c>
      <c r="B2478" t="s">
        <v>90</v>
      </c>
      <c r="C2478">
        <v>9406582649</v>
      </c>
      <c r="D2478" s="2">
        <v>1</v>
      </c>
      <c r="E2478" t="str">
        <f>"4574674200768752"</f>
        <v>4574674200768752</v>
      </c>
      <c r="F2478" t="str">
        <f>"585"</f>
        <v>585</v>
      </c>
      <c r="G2478">
        <v>1</v>
      </c>
      <c r="H2478">
        <v>2023</v>
      </c>
      <c r="I2478" t="s">
        <v>2593</v>
      </c>
    </row>
    <row r="2479" spans="1:9" x14ac:dyDescent="0.3">
      <c r="A2479" t="s">
        <v>10145</v>
      </c>
      <c r="B2479" t="s">
        <v>90</v>
      </c>
      <c r="C2479">
        <v>9406582649</v>
      </c>
      <c r="D2479" s="2">
        <v>1</v>
      </c>
      <c r="E2479" t="str">
        <f>"4574674200768927"</f>
        <v>4574674200768927</v>
      </c>
      <c r="F2479" t="str">
        <f>"520"</f>
        <v>520</v>
      </c>
      <c r="G2479">
        <v>1</v>
      </c>
      <c r="H2479">
        <v>2023</v>
      </c>
      <c r="I2479" t="s">
        <v>2594</v>
      </c>
    </row>
    <row r="2480" spans="1:9" x14ac:dyDescent="0.3">
      <c r="A2480" t="s">
        <v>10145</v>
      </c>
      <c r="B2480" t="s">
        <v>90</v>
      </c>
      <c r="C2480">
        <v>9406582649</v>
      </c>
      <c r="D2480" s="2">
        <v>1</v>
      </c>
      <c r="E2480" t="str">
        <f>"4574674200768778"</f>
        <v>4574674200768778</v>
      </c>
      <c r="F2480" t="str">
        <f>"085"</f>
        <v>085</v>
      </c>
      <c r="G2480">
        <v>1</v>
      </c>
      <c r="H2480">
        <v>2023</v>
      </c>
      <c r="I2480" t="s">
        <v>2595</v>
      </c>
    </row>
    <row r="2481" spans="1:9" x14ac:dyDescent="0.3">
      <c r="A2481" t="s">
        <v>10146</v>
      </c>
      <c r="B2481" t="s">
        <v>91</v>
      </c>
      <c r="C2481">
        <v>9406582649</v>
      </c>
      <c r="D2481" s="2">
        <v>1</v>
      </c>
      <c r="E2481" t="str">
        <f>"4574674200769016"</f>
        <v>4574674200769016</v>
      </c>
      <c r="F2481" t="str">
        <f>"971"</f>
        <v>971</v>
      </c>
      <c r="G2481">
        <v>1</v>
      </c>
      <c r="H2481">
        <v>2023</v>
      </c>
      <c r="I2481" t="s">
        <v>2596</v>
      </c>
    </row>
    <row r="2482" spans="1:9" x14ac:dyDescent="0.3">
      <c r="A2482" t="s">
        <v>10146</v>
      </c>
      <c r="B2482" t="s">
        <v>91</v>
      </c>
      <c r="C2482">
        <v>9406582649</v>
      </c>
      <c r="D2482" s="2">
        <v>1</v>
      </c>
      <c r="E2482" t="str">
        <f>"4574674200769214"</f>
        <v>4574674200769214</v>
      </c>
      <c r="F2482" t="str">
        <f>"201"</f>
        <v>201</v>
      </c>
      <c r="G2482">
        <v>1</v>
      </c>
      <c r="H2482">
        <v>2023</v>
      </c>
      <c r="I2482" t="s">
        <v>2597</v>
      </c>
    </row>
    <row r="2483" spans="1:9" x14ac:dyDescent="0.3">
      <c r="A2483" t="s">
        <v>10146</v>
      </c>
      <c r="B2483" t="s">
        <v>91</v>
      </c>
      <c r="C2483">
        <v>9406582649</v>
      </c>
      <c r="D2483" s="2">
        <v>1</v>
      </c>
      <c r="E2483" t="str">
        <f>"4574674200768794"</f>
        <v>4574674200768794</v>
      </c>
      <c r="F2483" t="str">
        <f>"240"</f>
        <v>240</v>
      </c>
      <c r="G2483">
        <v>1</v>
      </c>
      <c r="H2483">
        <v>2023</v>
      </c>
      <c r="I2483" t="s">
        <v>2598</v>
      </c>
    </row>
    <row r="2484" spans="1:9" x14ac:dyDescent="0.3">
      <c r="A2484" t="s">
        <v>10146</v>
      </c>
      <c r="B2484" t="s">
        <v>91</v>
      </c>
      <c r="C2484">
        <v>9406582649</v>
      </c>
      <c r="D2484" s="2">
        <v>1</v>
      </c>
      <c r="E2484" t="str">
        <f>"4574674200769115"</f>
        <v>4574674200769115</v>
      </c>
      <c r="F2484" t="str">
        <f>"494"</f>
        <v>494</v>
      </c>
      <c r="G2484">
        <v>1</v>
      </c>
      <c r="H2484">
        <v>2023</v>
      </c>
      <c r="I2484" t="s">
        <v>2599</v>
      </c>
    </row>
    <row r="2485" spans="1:9" x14ac:dyDescent="0.3">
      <c r="A2485" t="s">
        <v>10146</v>
      </c>
      <c r="B2485" t="s">
        <v>91</v>
      </c>
      <c r="C2485">
        <v>9406582649</v>
      </c>
      <c r="D2485" s="2">
        <v>1</v>
      </c>
      <c r="E2485" t="str">
        <f>"4574674200769156"</f>
        <v>4574674200769156</v>
      </c>
      <c r="F2485" t="str">
        <f>"683"</f>
        <v>683</v>
      </c>
      <c r="G2485">
        <v>1</v>
      </c>
      <c r="H2485">
        <v>2023</v>
      </c>
      <c r="I2485" t="s">
        <v>2600</v>
      </c>
    </row>
    <row r="2486" spans="1:9" x14ac:dyDescent="0.3">
      <c r="A2486" t="s">
        <v>10146</v>
      </c>
      <c r="B2486" t="s">
        <v>91</v>
      </c>
      <c r="C2486">
        <v>9406582649</v>
      </c>
      <c r="D2486" s="2">
        <v>1</v>
      </c>
      <c r="E2486" t="str">
        <f>"4574674200769289"</f>
        <v>4574674200769289</v>
      </c>
      <c r="F2486" t="str">
        <f>"936"</f>
        <v>936</v>
      </c>
      <c r="G2486">
        <v>1</v>
      </c>
      <c r="H2486">
        <v>2023</v>
      </c>
      <c r="I2486" t="s">
        <v>2601</v>
      </c>
    </row>
    <row r="2487" spans="1:9" x14ac:dyDescent="0.3">
      <c r="A2487" t="s">
        <v>10146</v>
      </c>
      <c r="B2487" t="s">
        <v>91</v>
      </c>
      <c r="C2487">
        <v>9406582649</v>
      </c>
      <c r="D2487" s="2">
        <v>1</v>
      </c>
      <c r="E2487" t="str">
        <f>"4574674200769263"</f>
        <v>4574674200769263</v>
      </c>
      <c r="F2487" t="str">
        <f>"090"</f>
        <v>090</v>
      </c>
      <c r="G2487">
        <v>1</v>
      </c>
      <c r="H2487">
        <v>2023</v>
      </c>
      <c r="I2487" t="s">
        <v>2602</v>
      </c>
    </row>
    <row r="2488" spans="1:9" x14ac:dyDescent="0.3">
      <c r="A2488" t="s">
        <v>10146</v>
      </c>
      <c r="B2488" t="s">
        <v>91</v>
      </c>
      <c r="C2488">
        <v>9406582649</v>
      </c>
      <c r="D2488" s="2">
        <v>1</v>
      </c>
      <c r="E2488" t="str">
        <f>"4574674200769305"</f>
        <v>4574674200769305</v>
      </c>
      <c r="F2488" t="str">
        <f>"131"</f>
        <v>131</v>
      </c>
      <c r="G2488">
        <v>1</v>
      </c>
      <c r="H2488">
        <v>2023</v>
      </c>
      <c r="I2488" t="s">
        <v>2603</v>
      </c>
    </row>
    <row r="2489" spans="1:9" x14ac:dyDescent="0.3">
      <c r="A2489" t="s">
        <v>10146</v>
      </c>
      <c r="B2489" t="s">
        <v>91</v>
      </c>
      <c r="C2489">
        <v>9406582649</v>
      </c>
      <c r="D2489" s="2">
        <v>1</v>
      </c>
      <c r="E2489" t="str">
        <f>"4574674200769446"</f>
        <v>4574674200769446</v>
      </c>
      <c r="F2489" t="str">
        <f>"323"</f>
        <v>323</v>
      </c>
      <c r="G2489">
        <v>1</v>
      </c>
      <c r="H2489">
        <v>2023</v>
      </c>
      <c r="I2489" t="s">
        <v>2604</v>
      </c>
    </row>
    <row r="2490" spans="1:9" x14ac:dyDescent="0.3">
      <c r="A2490" t="s">
        <v>10146</v>
      </c>
      <c r="B2490" t="s">
        <v>91</v>
      </c>
      <c r="C2490">
        <v>9406582649</v>
      </c>
      <c r="D2490" s="2">
        <v>1</v>
      </c>
      <c r="E2490" t="str">
        <f>"4574674200769313"</f>
        <v>4574674200769313</v>
      </c>
      <c r="F2490" t="str">
        <f>"795"</f>
        <v>795</v>
      </c>
      <c r="G2490">
        <v>1</v>
      </c>
      <c r="H2490">
        <v>2023</v>
      </c>
      <c r="I2490" t="s">
        <v>2605</v>
      </c>
    </row>
    <row r="2491" spans="1:9" x14ac:dyDescent="0.3">
      <c r="A2491" t="s">
        <v>10147</v>
      </c>
      <c r="B2491" t="s">
        <v>92</v>
      </c>
      <c r="C2491">
        <v>9406582649</v>
      </c>
      <c r="D2491" s="2">
        <v>1</v>
      </c>
      <c r="E2491" t="str">
        <f>"4574674200769495"</f>
        <v>4574674200769495</v>
      </c>
      <c r="F2491" t="str">
        <f>"885"</f>
        <v>885</v>
      </c>
      <c r="G2491">
        <v>1</v>
      </c>
      <c r="H2491">
        <v>2023</v>
      </c>
      <c r="I2491" t="s">
        <v>2606</v>
      </c>
    </row>
    <row r="2492" spans="1:9" x14ac:dyDescent="0.3">
      <c r="A2492" t="s">
        <v>10147</v>
      </c>
      <c r="B2492" t="s">
        <v>92</v>
      </c>
      <c r="C2492">
        <v>9406582649</v>
      </c>
      <c r="D2492" s="2">
        <v>1</v>
      </c>
      <c r="E2492" t="str">
        <f>"4574674200769321"</f>
        <v>4574674200769321</v>
      </c>
      <c r="F2492" t="str">
        <f>"669"</f>
        <v>669</v>
      </c>
      <c r="G2492">
        <v>1</v>
      </c>
      <c r="H2492">
        <v>2023</v>
      </c>
      <c r="I2492" t="s">
        <v>2607</v>
      </c>
    </row>
    <row r="2493" spans="1:9" x14ac:dyDescent="0.3">
      <c r="A2493" t="s">
        <v>10147</v>
      </c>
      <c r="B2493" t="s">
        <v>92</v>
      </c>
      <c r="C2493">
        <v>9406582649</v>
      </c>
      <c r="D2493" s="2">
        <v>1</v>
      </c>
      <c r="E2493" t="str">
        <f>"4574674200769610"</f>
        <v>4574674200769610</v>
      </c>
      <c r="F2493" t="str">
        <f>"730"</f>
        <v>730</v>
      </c>
      <c r="G2493">
        <v>1</v>
      </c>
      <c r="H2493">
        <v>2023</v>
      </c>
      <c r="I2493" t="s">
        <v>2608</v>
      </c>
    </row>
    <row r="2494" spans="1:9" x14ac:dyDescent="0.3">
      <c r="A2494" t="s">
        <v>10147</v>
      </c>
      <c r="B2494" t="s">
        <v>92</v>
      </c>
      <c r="C2494">
        <v>9406582649</v>
      </c>
      <c r="D2494" s="2">
        <v>1</v>
      </c>
      <c r="E2494" t="str">
        <f>"4574674200769388"</f>
        <v>4574674200769388</v>
      </c>
      <c r="F2494" t="str">
        <f>"396"</f>
        <v>396</v>
      </c>
      <c r="G2494">
        <v>1</v>
      </c>
      <c r="H2494">
        <v>2023</v>
      </c>
      <c r="I2494" t="s">
        <v>2609</v>
      </c>
    </row>
    <row r="2495" spans="1:9" x14ac:dyDescent="0.3">
      <c r="A2495" t="s">
        <v>10147</v>
      </c>
      <c r="B2495" t="s">
        <v>92</v>
      </c>
      <c r="C2495">
        <v>9406582649</v>
      </c>
      <c r="D2495" s="2">
        <v>1</v>
      </c>
      <c r="E2495" t="str">
        <f>"4574674200769800"</f>
        <v>4574674200769800</v>
      </c>
      <c r="F2495" t="str">
        <f>"382"</f>
        <v>382</v>
      </c>
      <c r="G2495">
        <v>1</v>
      </c>
      <c r="H2495">
        <v>2023</v>
      </c>
      <c r="I2495" t="s">
        <v>2610</v>
      </c>
    </row>
    <row r="2496" spans="1:9" x14ac:dyDescent="0.3">
      <c r="A2496" t="s">
        <v>10147</v>
      </c>
      <c r="B2496" t="s">
        <v>92</v>
      </c>
      <c r="C2496">
        <v>9406582649</v>
      </c>
      <c r="D2496" s="2">
        <v>1</v>
      </c>
      <c r="E2496" t="str">
        <f>"4574674200769826"</f>
        <v>4574674200769826</v>
      </c>
      <c r="F2496" t="str">
        <f>"709"</f>
        <v>709</v>
      </c>
      <c r="G2496">
        <v>1</v>
      </c>
      <c r="H2496">
        <v>2023</v>
      </c>
      <c r="I2496" t="s">
        <v>2611</v>
      </c>
    </row>
    <row r="2497" spans="1:9" x14ac:dyDescent="0.3">
      <c r="A2497" t="s">
        <v>10147</v>
      </c>
      <c r="B2497" t="s">
        <v>92</v>
      </c>
      <c r="C2497">
        <v>9406582649</v>
      </c>
      <c r="D2497" s="2">
        <v>1</v>
      </c>
      <c r="E2497" t="str">
        <f>"4574674200769685"</f>
        <v>4574674200769685</v>
      </c>
      <c r="F2497" t="str">
        <f>"042"</f>
        <v>042</v>
      </c>
      <c r="G2497">
        <v>1</v>
      </c>
      <c r="H2497">
        <v>2023</v>
      </c>
      <c r="I2497" t="s">
        <v>2612</v>
      </c>
    </row>
    <row r="2498" spans="1:9" x14ac:dyDescent="0.3">
      <c r="A2498" t="s">
        <v>10147</v>
      </c>
      <c r="B2498" t="s">
        <v>92</v>
      </c>
      <c r="C2498">
        <v>9406582649</v>
      </c>
      <c r="D2498" s="2">
        <v>1</v>
      </c>
      <c r="E2498" t="str">
        <f>"4574674200769842"</f>
        <v>4574674200769842</v>
      </c>
      <c r="F2498" t="str">
        <f>"262"</f>
        <v>262</v>
      </c>
      <c r="G2498">
        <v>1</v>
      </c>
      <c r="H2498">
        <v>2023</v>
      </c>
      <c r="I2498" t="s">
        <v>2613</v>
      </c>
    </row>
    <row r="2499" spans="1:9" x14ac:dyDescent="0.3">
      <c r="A2499" t="s">
        <v>10147</v>
      </c>
      <c r="B2499" t="s">
        <v>92</v>
      </c>
      <c r="C2499">
        <v>9406582649</v>
      </c>
      <c r="D2499" s="2">
        <v>1</v>
      </c>
      <c r="E2499" t="str">
        <f>"4574674200769834"</f>
        <v>4574674200769834</v>
      </c>
      <c r="F2499" t="str">
        <f>"273"</f>
        <v>273</v>
      </c>
      <c r="G2499">
        <v>1</v>
      </c>
      <c r="H2499">
        <v>2023</v>
      </c>
      <c r="I2499" t="s">
        <v>2614</v>
      </c>
    </row>
    <row r="2500" spans="1:9" x14ac:dyDescent="0.3">
      <c r="A2500" t="s">
        <v>10147</v>
      </c>
      <c r="B2500" t="s">
        <v>92</v>
      </c>
      <c r="C2500">
        <v>9406582649</v>
      </c>
      <c r="D2500" s="2">
        <v>1</v>
      </c>
      <c r="E2500" t="str">
        <f>"4574674200769750"</f>
        <v>4574674200769750</v>
      </c>
      <c r="F2500" t="str">
        <f>"445"</f>
        <v>445</v>
      </c>
      <c r="G2500">
        <v>1</v>
      </c>
      <c r="H2500">
        <v>2023</v>
      </c>
      <c r="I2500" t="s">
        <v>2615</v>
      </c>
    </row>
    <row r="2501" spans="1:9" x14ac:dyDescent="0.3">
      <c r="A2501" t="s">
        <v>10148</v>
      </c>
      <c r="B2501" t="s">
        <v>93</v>
      </c>
      <c r="C2501">
        <v>9406582649</v>
      </c>
      <c r="D2501" s="2">
        <v>1</v>
      </c>
      <c r="E2501" t="str">
        <f>"4574674200770022"</f>
        <v>4574674200770022</v>
      </c>
      <c r="F2501" t="str">
        <f>"677"</f>
        <v>677</v>
      </c>
      <c r="G2501">
        <v>1</v>
      </c>
      <c r="H2501">
        <v>2023</v>
      </c>
      <c r="I2501" t="s">
        <v>2616</v>
      </c>
    </row>
    <row r="2502" spans="1:9" x14ac:dyDescent="0.3">
      <c r="A2502" t="s">
        <v>10148</v>
      </c>
      <c r="B2502" t="s">
        <v>93</v>
      </c>
      <c r="C2502">
        <v>9406582649</v>
      </c>
      <c r="D2502" s="2">
        <v>1</v>
      </c>
      <c r="E2502" t="str">
        <f>"4574674200769917"</f>
        <v>4574674200769917</v>
      </c>
      <c r="F2502" t="str">
        <f>"353"</f>
        <v>353</v>
      </c>
      <c r="G2502">
        <v>1</v>
      </c>
      <c r="H2502">
        <v>2023</v>
      </c>
      <c r="I2502" t="s">
        <v>2617</v>
      </c>
    </row>
    <row r="2503" spans="1:9" x14ac:dyDescent="0.3">
      <c r="A2503" t="s">
        <v>10148</v>
      </c>
      <c r="B2503" t="s">
        <v>93</v>
      </c>
      <c r="C2503">
        <v>9406582649</v>
      </c>
      <c r="D2503" s="2">
        <v>1</v>
      </c>
      <c r="E2503" t="str">
        <f>"4574674200769933"</f>
        <v>4574674200769933</v>
      </c>
      <c r="F2503" t="str">
        <f>"379"</f>
        <v>379</v>
      </c>
      <c r="G2503">
        <v>1</v>
      </c>
      <c r="H2503">
        <v>2023</v>
      </c>
      <c r="I2503" t="s">
        <v>2618</v>
      </c>
    </row>
    <row r="2504" spans="1:9" x14ac:dyDescent="0.3">
      <c r="A2504" t="s">
        <v>10148</v>
      </c>
      <c r="B2504" t="s">
        <v>93</v>
      </c>
      <c r="C2504">
        <v>9406582649</v>
      </c>
      <c r="D2504" s="2">
        <v>1</v>
      </c>
      <c r="E2504" t="str">
        <f>"4574674200769909"</f>
        <v>4574674200769909</v>
      </c>
      <c r="F2504" t="str">
        <f>"452"</f>
        <v>452</v>
      </c>
      <c r="G2504">
        <v>1</v>
      </c>
      <c r="H2504">
        <v>2023</v>
      </c>
      <c r="I2504" t="s">
        <v>2619</v>
      </c>
    </row>
    <row r="2505" spans="1:9" x14ac:dyDescent="0.3">
      <c r="A2505" t="s">
        <v>10148</v>
      </c>
      <c r="B2505" t="s">
        <v>93</v>
      </c>
      <c r="C2505">
        <v>9406582649</v>
      </c>
      <c r="D2505" s="2">
        <v>1</v>
      </c>
      <c r="E2505" t="str">
        <f>"4574674200770121"</f>
        <v>4574674200770121</v>
      </c>
      <c r="F2505" t="str">
        <f>"113"</f>
        <v>113</v>
      </c>
      <c r="G2505">
        <v>1</v>
      </c>
      <c r="H2505">
        <v>2023</v>
      </c>
      <c r="I2505" t="s">
        <v>2620</v>
      </c>
    </row>
    <row r="2506" spans="1:9" x14ac:dyDescent="0.3">
      <c r="A2506" t="s">
        <v>10148</v>
      </c>
      <c r="B2506" t="s">
        <v>93</v>
      </c>
      <c r="C2506">
        <v>9406582649</v>
      </c>
      <c r="D2506" s="2">
        <v>1</v>
      </c>
      <c r="E2506" t="str">
        <f>"4574674200770162"</f>
        <v>4574674200770162</v>
      </c>
      <c r="F2506" t="str">
        <f>"597"</f>
        <v>597</v>
      </c>
      <c r="G2506">
        <v>1</v>
      </c>
      <c r="H2506">
        <v>2023</v>
      </c>
      <c r="I2506" t="s">
        <v>2621</v>
      </c>
    </row>
    <row r="2507" spans="1:9" x14ac:dyDescent="0.3">
      <c r="A2507" t="s">
        <v>10148</v>
      </c>
      <c r="B2507" t="s">
        <v>93</v>
      </c>
      <c r="C2507">
        <v>9406582649</v>
      </c>
      <c r="D2507" s="2">
        <v>1</v>
      </c>
      <c r="E2507" t="str">
        <f>"4574674200769966"</f>
        <v>4574674200769966</v>
      </c>
      <c r="F2507" t="str">
        <f>"236"</f>
        <v>236</v>
      </c>
      <c r="G2507">
        <v>1</v>
      </c>
      <c r="H2507">
        <v>2023</v>
      </c>
      <c r="I2507" t="s">
        <v>2622</v>
      </c>
    </row>
    <row r="2508" spans="1:9" x14ac:dyDescent="0.3">
      <c r="A2508" t="s">
        <v>10148</v>
      </c>
      <c r="B2508" t="s">
        <v>93</v>
      </c>
      <c r="C2508">
        <v>9406582649</v>
      </c>
      <c r="D2508" s="2">
        <v>1</v>
      </c>
      <c r="E2508" t="str">
        <f>"4574674200769958"</f>
        <v>4574674200769958</v>
      </c>
      <c r="F2508" t="str">
        <f>"780"</f>
        <v>780</v>
      </c>
      <c r="G2508">
        <v>1</v>
      </c>
      <c r="H2508">
        <v>2023</v>
      </c>
      <c r="I2508" t="s">
        <v>2623</v>
      </c>
    </row>
    <row r="2509" spans="1:9" x14ac:dyDescent="0.3">
      <c r="A2509" t="s">
        <v>10148</v>
      </c>
      <c r="B2509" t="s">
        <v>93</v>
      </c>
      <c r="C2509">
        <v>9406582649</v>
      </c>
      <c r="D2509" s="2">
        <v>1</v>
      </c>
      <c r="E2509" t="str">
        <f>"4574674200770295"</f>
        <v>4574674200770295</v>
      </c>
      <c r="F2509" t="str">
        <f>"867"</f>
        <v>867</v>
      </c>
      <c r="G2509">
        <v>1</v>
      </c>
      <c r="H2509">
        <v>2023</v>
      </c>
      <c r="I2509" t="s">
        <v>2624</v>
      </c>
    </row>
    <row r="2510" spans="1:9" x14ac:dyDescent="0.3">
      <c r="A2510" t="s">
        <v>10148</v>
      </c>
      <c r="B2510" t="s">
        <v>93</v>
      </c>
      <c r="C2510">
        <v>9406582649</v>
      </c>
      <c r="D2510" s="2">
        <v>1</v>
      </c>
      <c r="E2510" t="str">
        <f>"4574674200770303"</f>
        <v>4574674200770303</v>
      </c>
      <c r="F2510" t="str">
        <f>"677"</f>
        <v>677</v>
      </c>
      <c r="G2510">
        <v>1</v>
      </c>
      <c r="H2510">
        <v>2023</v>
      </c>
      <c r="I2510" t="s">
        <v>2625</v>
      </c>
    </row>
    <row r="2511" spans="1:9" x14ac:dyDescent="0.3">
      <c r="A2511" t="s">
        <v>10149</v>
      </c>
      <c r="B2511" t="s">
        <v>94</v>
      </c>
      <c r="C2511">
        <v>9406582649</v>
      </c>
      <c r="D2511" s="2">
        <v>1</v>
      </c>
      <c r="E2511" t="str">
        <f>"4574674200770428"</f>
        <v>4574674200770428</v>
      </c>
      <c r="F2511" t="str">
        <f>"077"</f>
        <v>077</v>
      </c>
      <c r="G2511">
        <v>1</v>
      </c>
      <c r="H2511">
        <v>2023</v>
      </c>
      <c r="I2511" t="s">
        <v>2626</v>
      </c>
    </row>
    <row r="2512" spans="1:9" x14ac:dyDescent="0.3">
      <c r="A2512" t="s">
        <v>10149</v>
      </c>
      <c r="B2512" t="s">
        <v>94</v>
      </c>
      <c r="C2512">
        <v>9406582649</v>
      </c>
      <c r="D2512" s="2">
        <v>1</v>
      </c>
      <c r="E2512" t="str">
        <f>"4574674200770436"</f>
        <v>4574674200770436</v>
      </c>
      <c r="F2512" t="str">
        <f>"953"</f>
        <v>953</v>
      </c>
      <c r="G2512">
        <v>1</v>
      </c>
      <c r="H2512">
        <v>2023</v>
      </c>
      <c r="I2512" t="s">
        <v>2627</v>
      </c>
    </row>
    <row r="2513" spans="1:9" x14ac:dyDescent="0.3">
      <c r="A2513" t="s">
        <v>10149</v>
      </c>
      <c r="B2513" t="s">
        <v>94</v>
      </c>
      <c r="C2513">
        <v>9406582649</v>
      </c>
      <c r="D2513" s="2">
        <v>1</v>
      </c>
      <c r="E2513" t="str">
        <f>"4574674200770444"</f>
        <v>4574674200770444</v>
      </c>
      <c r="F2513" t="str">
        <f>"702"</f>
        <v>702</v>
      </c>
      <c r="G2513">
        <v>1</v>
      </c>
      <c r="H2513">
        <v>2023</v>
      </c>
      <c r="I2513" t="s">
        <v>2628</v>
      </c>
    </row>
    <row r="2514" spans="1:9" x14ac:dyDescent="0.3">
      <c r="A2514" t="s">
        <v>10149</v>
      </c>
      <c r="B2514" t="s">
        <v>94</v>
      </c>
      <c r="C2514">
        <v>9406582649</v>
      </c>
      <c r="D2514" s="2">
        <v>1</v>
      </c>
      <c r="E2514" t="str">
        <f>"4574674200770485"</f>
        <v>4574674200770485</v>
      </c>
      <c r="F2514" t="str">
        <f>"351"</f>
        <v>351</v>
      </c>
      <c r="G2514">
        <v>1</v>
      </c>
      <c r="H2514">
        <v>2023</v>
      </c>
      <c r="I2514" t="s">
        <v>2629</v>
      </c>
    </row>
    <row r="2515" spans="1:9" x14ac:dyDescent="0.3">
      <c r="A2515" t="s">
        <v>10149</v>
      </c>
      <c r="B2515" t="s">
        <v>94</v>
      </c>
      <c r="C2515">
        <v>9406582649</v>
      </c>
      <c r="D2515" s="2">
        <v>1</v>
      </c>
      <c r="E2515" t="str">
        <f>"4574674200770477"</f>
        <v>4574674200770477</v>
      </c>
      <c r="F2515" t="str">
        <f>"573"</f>
        <v>573</v>
      </c>
      <c r="G2515">
        <v>1</v>
      </c>
      <c r="H2515">
        <v>2023</v>
      </c>
      <c r="I2515" t="s">
        <v>2630</v>
      </c>
    </row>
    <row r="2516" spans="1:9" x14ac:dyDescent="0.3">
      <c r="A2516" t="s">
        <v>10149</v>
      </c>
      <c r="B2516" t="s">
        <v>94</v>
      </c>
      <c r="C2516">
        <v>9406582649</v>
      </c>
      <c r="D2516" s="2">
        <v>1</v>
      </c>
      <c r="E2516" t="str">
        <f>"4574674200770667"</f>
        <v>4574674200770667</v>
      </c>
      <c r="F2516" t="str">
        <f>"056"</f>
        <v>056</v>
      </c>
      <c r="G2516">
        <v>1</v>
      </c>
      <c r="H2516">
        <v>2023</v>
      </c>
      <c r="I2516" t="s">
        <v>2631</v>
      </c>
    </row>
    <row r="2517" spans="1:9" x14ac:dyDescent="0.3">
      <c r="A2517" t="s">
        <v>10149</v>
      </c>
      <c r="B2517" t="s">
        <v>94</v>
      </c>
      <c r="C2517">
        <v>9406582649</v>
      </c>
      <c r="D2517" s="2">
        <v>1</v>
      </c>
      <c r="E2517" t="str">
        <f>"4574674200770642"</f>
        <v>4574674200770642</v>
      </c>
      <c r="F2517" t="str">
        <f>"100"</f>
        <v>100</v>
      </c>
      <c r="G2517">
        <v>1</v>
      </c>
      <c r="H2517">
        <v>2023</v>
      </c>
      <c r="I2517" t="s">
        <v>2632</v>
      </c>
    </row>
    <row r="2518" spans="1:9" x14ac:dyDescent="0.3">
      <c r="A2518" t="s">
        <v>10149</v>
      </c>
      <c r="B2518" t="s">
        <v>94</v>
      </c>
      <c r="C2518">
        <v>9406582649</v>
      </c>
      <c r="D2518" s="2">
        <v>1</v>
      </c>
      <c r="E2518" t="str">
        <f>"4574674200770550"</f>
        <v>4574674200770550</v>
      </c>
      <c r="F2518" t="str">
        <f>"635"</f>
        <v>635</v>
      </c>
      <c r="G2518">
        <v>1</v>
      </c>
      <c r="H2518">
        <v>2023</v>
      </c>
      <c r="I2518" t="s">
        <v>2633</v>
      </c>
    </row>
    <row r="2519" spans="1:9" x14ac:dyDescent="0.3">
      <c r="A2519" t="s">
        <v>10149</v>
      </c>
      <c r="B2519" t="s">
        <v>94</v>
      </c>
      <c r="C2519">
        <v>9406582649</v>
      </c>
      <c r="D2519" s="2">
        <v>1</v>
      </c>
      <c r="E2519" t="str">
        <f>"4574674200770568"</f>
        <v>4574674200770568</v>
      </c>
      <c r="F2519" t="str">
        <f>"749"</f>
        <v>749</v>
      </c>
      <c r="G2519">
        <v>1</v>
      </c>
      <c r="H2519">
        <v>2023</v>
      </c>
      <c r="I2519" t="s">
        <v>2634</v>
      </c>
    </row>
    <row r="2520" spans="1:9" x14ac:dyDescent="0.3">
      <c r="A2520" t="s">
        <v>10149</v>
      </c>
      <c r="B2520" t="s">
        <v>94</v>
      </c>
      <c r="C2520">
        <v>9406582649</v>
      </c>
      <c r="D2520" s="2">
        <v>1</v>
      </c>
      <c r="E2520" t="str">
        <f>"4574674200770576"</f>
        <v>4574674200770576</v>
      </c>
      <c r="F2520" t="str">
        <f>"286"</f>
        <v>286</v>
      </c>
      <c r="G2520">
        <v>1</v>
      </c>
      <c r="H2520">
        <v>2023</v>
      </c>
      <c r="I2520" t="s">
        <v>2635</v>
      </c>
    </row>
    <row r="2521" spans="1:9" x14ac:dyDescent="0.3">
      <c r="A2521" t="s">
        <v>10118</v>
      </c>
      <c r="B2521" t="s">
        <v>95</v>
      </c>
      <c r="C2521">
        <v>9406582649</v>
      </c>
      <c r="D2521" s="2">
        <v>1</v>
      </c>
      <c r="E2521" t="str">
        <f>"4574674200770816"</f>
        <v>4574674200770816</v>
      </c>
      <c r="F2521" t="str">
        <f>"703"</f>
        <v>703</v>
      </c>
      <c r="G2521">
        <v>1</v>
      </c>
      <c r="H2521">
        <v>2023</v>
      </c>
      <c r="I2521" t="s">
        <v>2636</v>
      </c>
    </row>
    <row r="2522" spans="1:9" x14ac:dyDescent="0.3">
      <c r="A2522" t="s">
        <v>10118</v>
      </c>
      <c r="B2522" t="s">
        <v>95</v>
      </c>
      <c r="C2522">
        <v>9406582649</v>
      </c>
      <c r="D2522" s="2">
        <v>1</v>
      </c>
      <c r="E2522" t="str">
        <f>"4574674200770824"</f>
        <v>4574674200770824</v>
      </c>
      <c r="F2522" t="str">
        <f>"444"</f>
        <v>444</v>
      </c>
      <c r="G2522">
        <v>1</v>
      </c>
      <c r="H2522">
        <v>2023</v>
      </c>
      <c r="I2522" t="s">
        <v>2637</v>
      </c>
    </row>
    <row r="2523" spans="1:9" x14ac:dyDescent="0.3">
      <c r="A2523" t="s">
        <v>10118</v>
      </c>
      <c r="B2523" t="s">
        <v>95</v>
      </c>
      <c r="C2523">
        <v>9406582649</v>
      </c>
      <c r="D2523" s="2">
        <v>1</v>
      </c>
      <c r="E2523" t="str">
        <f>"4574674200770592"</f>
        <v>4574674200770592</v>
      </c>
      <c r="F2523" t="str">
        <f>"904"</f>
        <v>904</v>
      </c>
      <c r="G2523">
        <v>1</v>
      </c>
      <c r="H2523">
        <v>2023</v>
      </c>
      <c r="I2523" t="s">
        <v>2638</v>
      </c>
    </row>
    <row r="2524" spans="1:9" x14ac:dyDescent="0.3">
      <c r="A2524" t="s">
        <v>10118</v>
      </c>
      <c r="B2524" t="s">
        <v>95</v>
      </c>
      <c r="C2524">
        <v>9406582649</v>
      </c>
      <c r="D2524" s="2">
        <v>1</v>
      </c>
      <c r="E2524" t="str">
        <f>"4574674200771004"</f>
        <v>4574674200771004</v>
      </c>
      <c r="F2524" t="str">
        <f>"247"</f>
        <v>247</v>
      </c>
      <c r="G2524">
        <v>1</v>
      </c>
      <c r="H2524">
        <v>2023</v>
      </c>
      <c r="I2524" t="s">
        <v>2639</v>
      </c>
    </row>
    <row r="2525" spans="1:9" x14ac:dyDescent="0.3">
      <c r="A2525" t="s">
        <v>10118</v>
      </c>
      <c r="B2525" t="s">
        <v>95</v>
      </c>
      <c r="C2525">
        <v>9406582649</v>
      </c>
      <c r="D2525" s="2">
        <v>1</v>
      </c>
      <c r="E2525" t="str">
        <f>"4574674200770964"</f>
        <v>4574674200770964</v>
      </c>
      <c r="F2525" t="str">
        <f>"500"</f>
        <v>500</v>
      </c>
      <c r="G2525">
        <v>1</v>
      </c>
      <c r="H2525">
        <v>2023</v>
      </c>
      <c r="I2525" t="s">
        <v>2640</v>
      </c>
    </row>
    <row r="2526" spans="1:9" x14ac:dyDescent="0.3">
      <c r="A2526" t="s">
        <v>10118</v>
      </c>
      <c r="B2526" t="s">
        <v>95</v>
      </c>
      <c r="C2526">
        <v>9406582649</v>
      </c>
      <c r="D2526" s="2">
        <v>1</v>
      </c>
      <c r="E2526" t="str">
        <f>"4574674200771202"</f>
        <v>4574674200771202</v>
      </c>
      <c r="F2526" t="str">
        <f>"838"</f>
        <v>838</v>
      </c>
      <c r="G2526">
        <v>1</v>
      </c>
      <c r="H2526">
        <v>2023</v>
      </c>
      <c r="I2526" t="s">
        <v>2641</v>
      </c>
    </row>
    <row r="2527" spans="1:9" x14ac:dyDescent="0.3">
      <c r="A2527" t="s">
        <v>10118</v>
      </c>
      <c r="B2527" t="s">
        <v>95</v>
      </c>
      <c r="C2527">
        <v>9406582649</v>
      </c>
      <c r="D2527" s="2">
        <v>1</v>
      </c>
      <c r="E2527" t="str">
        <f>"4574674200771053"</f>
        <v>4574674200771053</v>
      </c>
      <c r="F2527" t="str">
        <f>"732"</f>
        <v>732</v>
      </c>
      <c r="G2527">
        <v>1</v>
      </c>
      <c r="H2527">
        <v>2023</v>
      </c>
      <c r="I2527" t="s">
        <v>2642</v>
      </c>
    </row>
    <row r="2528" spans="1:9" x14ac:dyDescent="0.3">
      <c r="A2528" t="s">
        <v>10118</v>
      </c>
      <c r="B2528" t="s">
        <v>95</v>
      </c>
      <c r="C2528">
        <v>9406582649</v>
      </c>
      <c r="D2528" s="2">
        <v>1</v>
      </c>
      <c r="E2528" t="str">
        <f>"4574674200771061"</f>
        <v>4574674200771061</v>
      </c>
      <c r="F2528" t="str">
        <f>"359"</f>
        <v>359</v>
      </c>
      <c r="G2528">
        <v>1</v>
      </c>
      <c r="H2528">
        <v>2023</v>
      </c>
      <c r="I2528" t="s">
        <v>2643</v>
      </c>
    </row>
    <row r="2529" spans="1:9" x14ac:dyDescent="0.3">
      <c r="A2529" t="s">
        <v>10118</v>
      </c>
      <c r="B2529" t="s">
        <v>95</v>
      </c>
      <c r="C2529">
        <v>9406582649</v>
      </c>
      <c r="D2529" s="2">
        <v>1</v>
      </c>
      <c r="E2529" t="str">
        <f>"4574674200771087"</f>
        <v>4574674200771087</v>
      </c>
      <c r="F2529" t="str">
        <f>"477"</f>
        <v>477</v>
      </c>
      <c r="G2529">
        <v>1</v>
      </c>
      <c r="H2529">
        <v>2023</v>
      </c>
      <c r="I2529" t="s">
        <v>2644</v>
      </c>
    </row>
    <row r="2530" spans="1:9" x14ac:dyDescent="0.3">
      <c r="A2530" t="s">
        <v>10118</v>
      </c>
      <c r="B2530" t="s">
        <v>95</v>
      </c>
      <c r="C2530">
        <v>9406582649</v>
      </c>
      <c r="D2530" s="2">
        <v>1</v>
      </c>
      <c r="E2530" t="str">
        <f>"4574674200771384"</f>
        <v>4574674200771384</v>
      </c>
      <c r="F2530" t="str">
        <f>"393"</f>
        <v>393</v>
      </c>
      <c r="G2530">
        <v>1</v>
      </c>
      <c r="H2530">
        <v>2023</v>
      </c>
      <c r="I2530" t="s">
        <v>2645</v>
      </c>
    </row>
    <row r="2531" spans="1:9" x14ac:dyDescent="0.3">
      <c r="A2531" t="s">
        <v>10119</v>
      </c>
      <c r="B2531" t="s">
        <v>96</v>
      </c>
      <c r="C2531">
        <v>9406582649</v>
      </c>
      <c r="D2531" s="2">
        <v>1</v>
      </c>
      <c r="E2531" t="str">
        <f>"4574674200771368"</f>
        <v>4574674200771368</v>
      </c>
      <c r="F2531" t="str">
        <f>"569"</f>
        <v>569</v>
      </c>
      <c r="G2531">
        <v>1</v>
      </c>
      <c r="H2531">
        <v>2023</v>
      </c>
      <c r="I2531" t="s">
        <v>2646</v>
      </c>
    </row>
    <row r="2532" spans="1:9" x14ac:dyDescent="0.3">
      <c r="A2532" t="s">
        <v>10119</v>
      </c>
      <c r="B2532" t="s">
        <v>96</v>
      </c>
      <c r="C2532">
        <v>9406582649</v>
      </c>
      <c r="D2532" s="2">
        <v>1</v>
      </c>
      <c r="E2532" t="str">
        <f>"4574674200771111"</f>
        <v>4574674200771111</v>
      </c>
      <c r="F2532" t="str">
        <f>"865"</f>
        <v>865</v>
      </c>
      <c r="G2532">
        <v>1</v>
      </c>
      <c r="H2532">
        <v>2023</v>
      </c>
      <c r="I2532" t="s">
        <v>2647</v>
      </c>
    </row>
    <row r="2533" spans="1:9" x14ac:dyDescent="0.3">
      <c r="A2533" t="s">
        <v>10119</v>
      </c>
      <c r="B2533" t="s">
        <v>96</v>
      </c>
      <c r="C2533">
        <v>9406582649</v>
      </c>
      <c r="D2533" s="2">
        <v>1</v>
      </c>
      <c r="E2533" t="str">
        <f>"4574674200771129"</f>
        <v>4574674200771129</v>
      </c>
      <c r="F2533" t="str">
        <f>"907"</f>
        <v>907</v>
      </c>
      <c r="G2533">
        <v>1</v>
      </c>
      <c r="H2533">
        <v>2023</v>
      </c>
      <c r="I2533" t="s">
        <v>2648</v>
      </c>
    </row>
    <row r="2534" spans="1:9" x14ac:dyDescent="0.3">
      <c r="A2534" t="s">
        <v>10119</v>
      </c>
      <c r="B2534" t="s">
        <v>96</v>
      </c>
      <c r="C2534">
        <v>9406582649</v>
      </c>
      <c r="D2534" s="2">
        <v>1</v>
      </c>
      <c r="E2534" t="str">
        <f>"4574674200771145"</f>
        <v>4574674200771145</v>
      </c>
      <c r="F2534" t="str">
        <f>"918"</f>
        <v>918</v>
      </c>
      <c r="G2534">
        <v>1</v>
      </c>
      <c r="H2534">
        <v>2023</v>
      </c>
      <c r="I2534" t="s">
        <v>2649</v>
      </c>
    </row>
    <row r="2535" spans="1:9" x14ac:dyDescent="0.3">
      <c r="A2535" t="s">
        <v>10119</v>
      </c>
      <c r="B2535" t="s">
        <v>96</v>
      </c>
      <c r="C2535">
        <v>9406582649</v>
      </c>
      <c r="D2535" s="2">
        <v>1</v>
      </c>
      <c r="E2535" t="str">
        <f>"4574674200771160"</f>
        <v>4574674200771160</v>
      </c>
      <c r="F2535" t="str">
        <f>"239"</f>
        <v>239</v>
      </c>
      <c r="G2535">
        <v>1</v>
      </c>
      <c r="H2535">
        <v>2023</v>
      </c>
      <c r="I2535" t="s">
        <v>2650</v>
      </c>
    </row>
    <row r="2536" spans="1:9" x14ac:dyDescent="0.3">
      <c r="A2536" t="s">
        <v>10119</v>
      </c>
      <c r="B2536" t="s">
        <v>96</v>
      </c>
      <c r="C2536">
        <v>9406582649</v>
      </c>
      <c r="D2536" s="2">
        <v>1</v>
      </c>
      <c r="E2536" t="str">
        <f>"4574674200771509"</f>
        <v>4574674200771509</v>
      </c>
      <c r="F2536" t="str">
        <f>"100"</f>
        <v>100</v>
      </c>
      <c r="G2536">
        <v>1</v>
      </c>
      <c r="H2536">
        <v>2023</v>
      </c>
      <c r="I2536" t="s">
        <v>2651</v>
      </c>
    </row>
    <row r="2537" spans="1:9" x14ac:dyDescent="0.3">
      <c r="A2537" t="s">
        <v>10119</v>
      </c>
      <c r="B2537" t="s">
        <v>96</v>
      </c>
      <c r="C2537">
        <v>9406582649</v>
      </c>
      <c r="D2537" s="2">
        <v>1</v>
      </c>
      <c r="E2537" t="str">
        <f>"4574674200771533"</f>
        <v>4574674200771533</v>
      </c>
      <c r="F2537" t="str">
        <f>"726"</f>
        <v>726</v>
      </c>
      <c r="G2537">
        <v>1</v>
      </c>
      <c r="H2537">
        <v>2023</v>
      </c>
      <c r="I2537" t="s">
        <v>2652</v>
      </c>
    </row>
    <row r="2538" spans="1:9" x14ac:dyDescent="0.3">
      <c r="A2538" t="s">
        <v>10119</v>
      </c>
      <c r="B2538" t="s">
        <v>96</v>
      </c>
      <c r="C2538">
        <v>9406582649</v>
      </c>
      <c r="D2538" s="2">
        <v>1</v>
      </c>
      <c r="E2538" t="str">
        <f>"4574674200771608"</f>
        <v>4574674200771608</v>
      </c>
      <c r="F2538" t="str">
        <f>"832"</f>
        <v>832</v>
      </c>
      <c r="G2538">
        <v>1</v>
      </c>
      <c r="H2538">
        <v>2023</v>
      </c>
      <c r="I2538" t="s">
        <v>2653</v>
      </c>
    </row>
    <row r="2539" spans="1:9" x14ac:dyDescent="0.3">
      <c r="A2539" t="s">
        <v>10119</v>
      </c>
      <c r="B2539" t="s">
        <v>96</v>
      </c>
      <c r="C2539">
        <v>9406582649</v>
      </c>
      <c r="D2539" s="2">
        <v>1</v>
      </c>
      <c r="E2539" t="str">
        <f>"4574674200771632"</f>
        <v>4574674200771632</v>
      </c>
      <c r="F2539" t="str">
        <f>"878"</f>
        <v>878</v>
      </c>
      <c r="G2539">
        <v>1</v>
      </c>
      <c r="H2539">
        <v>2023</v>
      </c>
      <c r="I2539" t="s">
        <v>2654</v>
      </c>
    </row>
    <row r="2540" spans="1:9" x14ac:dyDescent="0.3">
      <c r="A2540" t="s">
        <v>10119</v>
      </c>
      <c r="B2540" t="s">
        <v>96</v>
      </c>
      <c r="C2540">
        <v>9406582649</v>
      </c>
      <c r="D2540" s="2">
        <v>1</v>
      </c>
      <c r="E2540" t="str">
        <f>"4574674200771640"</f>
        <v>4574674200771640</v>
      </c>
      <c r="F2540" t="str">
        <f>"308"</f>
        <v>308</v>
      </c>
      <c r="G2540">
        <v>1</v>
      </c>
      <c r="H2540">
        <v>2023</v>
      </c>
      <c r="I2540" t="s">
        <v>2655</v>
      </c>
    </row>
    <row r="2541" spans="1:9" x14ac:dyDescent="0.3">
      <c r="A2541" t="s">
        <v>10120</v>
      </c>
      <c r="B2541" t="s">
        <v>97</v>
      </c>
      <c r="C2541">
        <v>9406582649</v>
      </c>
      <c r="D2541" s="2">
        <v>1</v>
      </c>
      <c r="E2541" t="str">
        <f>"4574674200771822"</f>
        <v>4574674200771822</v>
      </c>
      <c r="F2541" t="str">
        <f>"027"</f>
        <v>027</v>
      </c>
      <c r="G2541">
        <v>1</v>
      </c>
      <c r="H2541">
        <v>2023</v>
      </c>
      <c r="I2541" t="s">
        <v>2656</v>
      </c>
    </row>
    <row r="2542" spans="1:9" x14ac:dyDescent="0.3">
      <c r="A2542" t="s">
        <v>10120</v>
      </c>
      <c r="B2542" t="s">
        <v>97</v>
      </c>
      <c r="C2542">
        <v>9406582649</v>
      </c>
      <c r="D2542" s="2">
        <v>1</v>
      </c>
      <c r="E2542" t="str">
        <f>"4574674200771889"</f>
        <v>4574674200771889</v>
      </c>
      <c r="F2542" t="str">
        <f>"604"</f>
        <v>604</v>
      </c>
      <c r="G2542">
        <v>1</v>
      </c>
      <c r="H2542">
        <v>2023</v>
      </c>
      <c r="I2542" t="s">
        <v>2657</v>
      </c>
    </row>
    <row r="2543" spans="1:9" x14ac:dyDescent="0.3">
      <c r="A2543" t="s">
        <v>10120</v>
      </c>
      <c r="B2543" t="s">
        <v>97</v>
      </c>
      <c r="C2543">
        <v>9406582649</v>
      </c>
      <c r="D2543" s="2">
        <v>1</v>
      </c>
      <c r="E2543" t="str">
        <f>"4574674200771681"</f>
        <v>4574674200771681</v>
      </c>
      <c r="F2543" t="str">
        <f>"794"</f>
        <v>794</v>
      </c>
      <c r="G2543">
        <v>1</v>
      </c>
      <c r="H2543">
        <v>2023</v>
      </c>
      <c r="I2543" t="s">
        <v>2658</v>
      </c>
    </row>
    <row r="2544" spans="1:9" x14ac:dyDescent="0.3">
      <c r="A2544" t="s">
        <v>10120</v>
      </c>
      <c r="B2544" t="s">
        <v>97</v>
      </c>
      <c r="C2544">
        <v>9406582649</v>
      </c>
      <c r="D2544" s="2">
        <v>1</v>
      </c>
      <c r="E2544" t="str">
        <f>"4574674200771657"</f>
        <v>4574674200771657</v>
      </c>
      <c r="F2544" t="str">
        <f>"434"</f>
        <v>434</v>
      </c>
      <c r="G2544">
        <v>1</v>
      </c>
      <c r="H2544">
        <v>2023</v>
      </c>
      <c r="I2544" t="s">
        <v>2659</v>
      </c>
    </row>
    <row r="2545" spans="1:9" x14ac:dyDescent="0.3">
      <c r="A2545" t="s">
        <v>10120</v>
      </c>
      <c r="B2545" t="s">
        <v>97</v>
      </c>
      <c r="C2545">
        <v>9406582649</v>
      </c>
      <c r="D2545" s="2">
        <v>1</v>
      </c>
      <c r="E2545" t="str">
        <f>"4574674200771715"</f>
        <v>4574674200771715</v>
      </c>
      <c r="F2545" t="str">
        <f>"740"</f>
        <v>740</v>
      </c>
      <c r="G2545">
        <v>1</v>
      </c>
      <c r="H2545">
        <v>2023</v>
      </c>
      <c r="I2545" t="s">
        <v>2660</v>
      </c>
    </row>
    <row r="2546" spans="1:9" x14ac:dyDescent="0.3">
      <c r="A2546" t="s">
        <v>10120</v>
      </c>
      <c r="B2546" t="s">
        <v>97</v>
      </c>
      <c r="C2546">
        <v>9406582649</v>
      </c>
      <c r="D2546" s="2">
        <v>1</v>
      </c>
      <c r="E2546" t="str">
        <f>"4574674200771988"</f>
        <v>4574674200771988</v>
      </c>
      <c r="F2546" t="str">
        <f>"217"</f>
        <v>217</v>
      </c>
      <c r="G2546">
        <v>1</v>
      </c>
      <c r="H2546">
        <v>2023</v>
      </c>
      <c r="I2546" t="s">
        <v>2661</v>
      </c>
    </row>
    <row r="2547" spans="1:9" x14ac:dyDescent="0.3">
      <c r="A2547" t="s">
        <v>10120</v>
      </c>
      <c r="B2547" t="s">
        <v>97</v>
      </c>
      <c r="C2547">
        <v>9406582649</v>
      </c>
      <c r="D2547" s="2">
        <v>1</v>
      </c>
      <c r="E2547" t="str">
        <f>"4574674200772028"</f>
        <v>4574674200772028</v>
      </c>
      <c r="F2547" t="str">
        <f>"164"</f>
        <v>164</v>
      </c>
      <c r="G2547">
        <v>1</v>
      </c>
      <c r="H2547">
        <v>2023</v>
      </c>
      <c r="I2547" t="s">
        <v>2662</v>
      </c>
    </row>
    <row r="2548" spans="1:9" x14ac:dyDescent="0.3">
      <c r="A2548" t="s">
        <v>10120</v>
      </c>
      <c r="B2548" t="s">
        <v>97</v>
      </c>
      <c r="C2548">
        <v>9406582649</v>
      </c>
      <c r="D2548" s="2">
        <v>1</v>
      </c>
      <c r="E2548" t="str">
        <f>"4574674200771756"</f>
        <v>4574674200771756</v>
      </c>
      <c r="F2548" t="str">
        <f>"117"</f>
        <v>117</v>
      </c>
      <c r="G2548">
        <v>1</v>
      </c>
      <c r="H2548">
        <v>2023</v>
      </c>
      <c r="I2548" t="s">
        <v>2663</v>
      </c>
    </row>
    <row r="2549" spans="1:9" x14ac:dyDescent="0.3">
      <c r="A2549" t="s">
        <v>10120</v>
      </c>
      <c r="B2549" t="s">
        <v>97</v>
      </c>
      <c r="C2549">
        <v>9406582649</v>
      </c>
      <c r="D2549" s="2">
        <v>1</v>
      </c>
      <c r="E2549" t="str">
        <f>"4574674200771764"</f>
        <v>4574674200771764</v>
      </c>
      <c r="F2549" t="str">
        <f>"946"</f>
        <v>946</v>
      </c>
      <c r="G2549">
        <v>1</v>
      </c>
      <c r="H2549">
        <v>2023</v>
      </c>
      <c r="I2549" t="s">
        <v>2664</v>
      </c>
    </row>
    <row r="2550" spans="1:9" x14ac:dyDescent="0.3">
      <c r="A2550" t="s">
        <v>10120</v>
      </c>
      <c r="B2550" t="s">
        <v>97</v>
      </c>
      <c r="C2550">
        <v>9406582649</v>
      </c>
      <c r="D2550" s="2">
        <v>1</v>
      </c>
      <c r="E2550" t="str">
        <f>"4574674200771780"</f>
        <v>4574674200771780</v>
      </c>
      <c r="F2550" t="str">
        <f>"720"</f>
        <v>720</v>
      </c>
      <c r="G2550">
        <v>1</v>
      </c>
      <c r="H2550">
        <v>2023</v>
      </c>
      <c r="I2550" t="s">
        <v>2665</v>
      </c>
    </row>
    <row r="2551" spans="1:9" x14ac:dyDescent="0.3">
      <c r="A2551" t="s">
        <v>10121</v>
      </c>
      <c r="B2551" t="s">
        <v>98</v>
      </c>
      <c r="C2551">
        <v>9406582649</v>
      </c>
      <c r="D2551" s="2">
        <v>1</v>
      </c>
      <c r="E2551" t="str">
        <f>"4574674200772200"</f>
        <v>4574674200772200</v>
      </c>
      <c r="F2551" t="str">
        <f>"756"</f>
        <v>756</v>
      </c>
      <c r="G2551">
        <v>1</v>
      </c>
      <c r="H2551">
        <v>2023</v>
      </c>
      <c r="I2551" t="s">
        <v>2666</v>
      </c>
    </row>
    <row r="2552" spans="1:9" x14ac:dyDescent="0.3">
      <c r="A2552" t="s">
        <v>10121</v>
      </c>
      <c r="B2552" t="s">
        <v>98</v>
      </c>
      <c r="C2552">
        <v>9406582649</v>
      </c>
      <c r="D2552" s="2">
        <v>1</v>
      </c>
      <c r="E2552" t="str">
        <f>"4574674200772408"</f>
        <v>4574674200772408</v>
      </c>
      <c r="F2552" t="str">
        <f>"987"</f>
        <v>987</v>
      </c>
      <c r="G2552">
        <v>1</v>
      </c>
      <c r="H2552">
        <v>2023</v>
      </c>
      <c r="I2552" t="s">
        <v>2667</v>
      </c>
    </row>
    <row r="2553" spans="1:9" x14ac:dyDescent="0.3">
      <c r="A2553" t="s">
        <v>10121</v>
      </c>
      <c r="B2553" t="s">
        <v>98</v>
      </c>
      <c r="C2553">
        <v>9406582649</v>
      </c>
      <c r="D2553" s="2">
        <v>1</v>
      </c>
      <c r="E2553" t="str">
        <f>"4574674200772424"</f>
        <v>4574674200772424</v>
      </c>
      <c r="F2553" t="str">
        <f>"464"</f>
        <v>464</v>
      </c>
      <c r="G2553">
        <v>1</v>
      </c>
      <c r="H2553">
        <v>2023</v>
      </c>
      <c r="I2553" t="s">
        <v>2668</v>
      </c>
    </row>
    <row r="2554" spans="1:9" x14ac:dyDescent="0.3">
      <c r="A2554" t="s">
        <v>10121</v>
      </c>
      <c r="B2554" t="s">
        <v>98</v>
      </c>
      <c r="C2554">
        <v>9406582649</v>
      </c>
      <c r="D2554" s="2">
        <v>1</v>
      </c>
      <c r="E2554" t="str">
        <f>"4574674200772275"</f>
        <v>4574674200772275</v>
      </c>
      <c r="F2554" t="str">
        <f>"246"</f>
        <v>246</v>
      </c>
      <c r="G2554">
        <v>1</v>
      </c>
      <c r="H2554">
        <v>2023</v>
      </c>
      <c r="I2554" t="s">
        <v>2669</v>
      </c>
    </row>
    <row r="2555" spans="1:9" x14ac:dyDescent="0.3">
      <c r="A2555" t="s">
        <v>10121</v>
      </c>
      <c r="B2555" t="s">
        <v>98</v>
      </c>
      <c r="C2555">
        <v>9406582649</v>
      </c>
      <c r="D2555" s="2">
        <v>1</v>
      </c>
      <c r="E2555" t="str">
        <f>"4574674200772267"</f>
        <v>4574674200772267</v>
      </c>
      <c r="F2555" t="str">
        <f>"284"</f>
        <v>284</v>
      </c>
      <c r="G2555">
        <v>1</v>
      </c>
      <c r="H2555">
        <v>2023</v>
      </c>
      <c r="I2555" t="s">
        <v>2670</v>
      </c>
    </row>
    <row r="2556" spans="1:9" x14ac:dyDescent="0.3">
      <c r="A2556" t="s">
        <v>10121</v>
      </c>
      <c r="B2556" t="s">
        <v>98</v>
      </c>
      <c r="C2556">
        <v>9406582649</v>
      </c>
      <c r="D2556" s="2">
        <v>1</v>
      </c>
      <c r="E2556" t="str">
        <f>"4574674200772283"</f>
        <v>4574674200772283</v>
      </c>
      <c r="F2556" t="str">
        <f>"906"</f>
        <v>906</v>
      </c>
      <c r="G2556">
        <v>1</v>
      </c>
      <c r="H2556">
        <v>2023</v>
      </c>
      <c r="I2556" t="s">
        <v>2671</v>
      </c>
    </row>
    <row r="2557" spans="1:9" x14ac:dyDescent="0.3">
      <c r="A2557" t="s">
        <v>10121</v>
      </c>
      <c r="B2557" t="s">
        <v>98</v>
      </c>
      <c r="C2557">
        <v>9406582649</v>
      </c>
      <c r="D2557" s="2">
        <v>1</v>
      </c>
      <c r="E2557" t="str">
        <f>"4574674200772580"</f>
        <v>4574674200772580</v>
      </c>
      <c r="F2557" t="str">
        <f>"676"</f>
        <v>676</v>
      </c>
      <c r="G2557">
        <v>1</v>
      </c>
      <c r="H2557">
        <v>2023</v>
      </c>
      <c r="I2557" t="s">
        <v>2672</v>
      </c>
    </row>
    <row r="2558" spans="1:9" x14ac:dyDescent="0.3">
      <c r="A2558" t="s">
        <v>10121</v>
      </c>
      <c r="B2558" t="s">
        <v>98</v>
      </c>
      <c r="C2558">
        <v>9406582649</v>
      </c>
      <c r="D2558" s="2">
        <v>1</v>
      </c>
      <c r="E2558" t="str">
        <f>"4574674200772598"</f>
        <v>4574674200772598</v>
      </c>
      <c r="F2558" t="str">
        <f>"236"</f>
        <v>236</v>
      </c>
      <c r="G2558">
        <v>1</v>
      </c>
      <c r="H2558">
        <v>2023</v>
      </c>
      <c r="I2558" t="s">
        <v>2673</v>
      </c>
    </row>
    <row r="2559" spans="1:9" x14ac:dyDescent="0.3">
      <c r="A2559" t="s">
        <v>10121</v>
      </c>
      <c r="B2559" t="s">
        <v>98</v>
      </c>
      <c r="C2559">
        <v>9406582649</v>
      </c>
      <c r="D2559" s="2">
        <v>1</v>
      </c>
      <c r="E2559" t="str">
        <f>"4574674200772333"</f>
        <v>4574674200772333</v>
      </c>
      <c r="F2559" t="str">
        <f>"700"</f>
        <v>700</v>
      </c>
      <c r="G2559">
        <v>1</v>
      </c>
      <c r="H2559">
        <v>2023</v>
      </c>
      <c r="I2559" t="s">
        <v>2674</v>
      </c>
    </row>
    <row r="2560" spans="1:9" x14ac:dyDescent="0.3">
      <c r="A2560" t="s">
        <v>10121</v>
      </c>
      <c r="B2560" t="s">
        <v>98</v>
      </c>
      <c r="C2560">
        <v>9406582649</v>
      </c>
      <c r="D2560" s="2">
        <v>1</v>
      </c>
      <c r="E2560" t="str">
        <f>"4574674200772366"</f>
        <v>4574674200772366</v>
      </c>
      <c r="F2560" t="str">
        <f>"582"</f>
        <v>582</v>
      </c>
      <c r="G2560">
        <v>1</v>
      </c>
      <c r="H2560">
        <v>2023</v>
      </c>
      <c r="I2560" t="s">
        <v>2675</v>
      </c>
    </row>
    <row r="2561" spans="1:9" x14ac:dyDescent="0.3">
      <c r="A2561" t="s">
        <v>10122</v>
      </c>
      <c r="B2561" t="s">
        <v>99</v>
      </c>
      <c r="C2561">
        <v>9406582649</v>
      </c>
      <c r="D2561" s="2">
        <v>1</v>
      </c>
      <c r="E2561" t="str">
        <f>"4574674200772390"</f>
        <v>4574674200772390</v>
      </c>
      <c r="F2561" t="str">
        <f>"491"</f>
        <v>491</v>
      </c>
      <c r="G2561">
        <v>1</v>
      </c>
      <c r="H2561">
        <v>2023</v>
      </c>
      <c r="I2561" t="s">
        <v>2676</v>
      </c>
    </row>
    <row r="2562" spans="1:9" x14ac:dyDescent="0.3">
      <c r="A2562" t="s">
        <v>10122</v>
      </c>
      <c r="B2562" t="s">
        <v>99</v>
      </c>
      <c r="C2562">
        <v>9406582649</v>
      </c>
      <c r="D2562" s="2">
        <v>1</v>
      </c>
      <c r="E2562" t="str">
        <f>"4574674200772374"</f>
        <v>4574674200772374</v>
      </c>
      <c r="F2562" t="str">
        <f>"809"</f>
        <v>809</v>
      </c>
      <c r="G2562">
        <v>1</v>
      </c>
      <c r="H2562">
        <v>2023</v>
      </c>
      <c r="I2562" t="s">
        <v>2677</v>
      </c>
    </row>
    <row r="2563" spans="1:9" x14ac:dyDescent="0.3">
      <c r="A2563" t="s">
        <v>10122</v>
      </c>
      <c r="B2563" t="s">
        <v>99</v>
      </c>
      <c r="C2563">
        <v>9406582649</v>
      </c>
      <c r="D2563" s="2">
        <v>1</v>
      </c>
      <c r="E2563" t="str">
        <f>"4574674200772721"</f>
        <v>4574674200772721</v>
      </c>
      <c r="F2563" t="str">
        <f>"004"</f>
        <v>004</v>
      </c>
      <c r="G2563">
        <v>1</v>
      </c>
      <c r="H2563">
        <v>2023</v>
      </c>
      <c r="I2563" t="s">
        <v>2678</v>
      </c>
    </row>
    <row r="2564" spans="1:9" x14ac:dyDescent="0.3">
      <c r="A2564" t="s">
        <v>10122</v>
      </c>
      <c r="B2564" t="s">
        <v>99</v>
      </c>
      <c r="C2564">
        <v>9406582649</v>
      </c>
      <c r="D2564" s="2">
        <v>1</v>
      </c>
      <c r="E2564" t="str">
        <f>"4574674200772754"</f>
        <v>4574674200772754</v>
      </c>
      <c r="F2564" t="str">
        <f>"311"</f>
        <v>311</v>
      </c>
      <c r="G2564">
        <v>1</v>
      </c>
      <c r="H2564">
        <v>2023</v>
      </c>
      <c r="I2564" t="s">
        <v>2679</v>
      </c>
    </row>
    <row r="2565" spans="1:9" x14ac:dyDescent="0.3">
      <c r="A2565" t="s">
        <v>10122</v>
      </c>
      <c r="B2565" t="s">
        <v>99</v>
      </c>
      <c r="C2565">
        <v>9406582649</v>
      </c>
      <c r="D2565" s="2">
        <v>1</v>
      </c>
      <c r="E2565" t="str">
        <f>"4574674200772804"</f>
        <v>4574674200772804</v>
      </c>
      <c r="F2565" t="str">
        <f>"954"</f>
        <v>954</v>
      </c>
      <c r="G2565">
        <v>1</v>
      </c>
      <c r="H2565">
        <v>2023</v>
      </c>
      <c r="I2565" t="s">
        <v>2680</v>
      </c>
    </row>
    <row r="2566" spans="1:9" x14ac:dyDescent="0.3">
      <c r="A2566" t="s">
        <v>10122</v>
      </c>
      <c r="B2566" t="s">
        <v>99</v>
      </c>
      <c r="C2566">
        <v>9406582649</v>
      </c>
      <c r="D2566" s="2">
        <v>1</v>
      </c>
      <c r="E2566" t="str">
        <f>"4574674200772861"</f>
        <v>4574674200772861</v>
      </c>
      <c r="F2566" t="str">
        <f>"624"</f>
        <v>624</v>
      </c>
      <c r="G2566">
        <v>1</v>
      </c>
      <c r="H2566">
        <v>2023</v>
      </c>
      <c r="I2566" t="s">
        <v>2681</v>
      </c>
    </row>
    <row r="2567" spans="1:9" x14ac:dyDescent="0.3">
      <c r="A2567" t="s">
        <v>10122</v>
      </c>
      <c r="B2567" t="s">
        <v>99</v>
      </c>
      <c r="C2567">
        <v>9406582649</v>
      </c>
      <c r="D2567" s="2">
        <v>1</v>
      </c>
      <c r="E2567" t="str">
        <f>"4574674200772887"</f>
        <v>4574674200772887</v>
      </c>
      <c r="F2567" t="str">
        <f>"985"</f>
        <v>985</v>
      </c>
      <c r="G2567">
        <v>1</v>
      </c>
      <c r="H2567">
        <v>2023</v>
      </c>
      <c r="I2567" t="s">
        <v>2682</v>
      </c>
    </row>
    <row r="2568" spans="1:9" x14ac:dyDescent="0.3">
      <c r="A2568" t="s">
        <v>10122</v>
      </c>
      <c r="B2568" t="s">
        <v>99</v>
      </c>
      <c r="C2568">
        <v>9406582649</v>
      </c>
      <c r="D2568" s="2">
        <v>1</v>
      </c>
      <c r="E2568" t="str">
        <f>"4574674200773109"</f>
        <v>4574674200773109</v>
      </c>
      <c r="F2568" t="str">
        <f>"790"</f>
        <v>790</v>
      </c>
      <c r="G2568">
        <v>1</v>
      </c>
      <c r="H2568">
        <v>2023</v>
      </c>
      <c r="I2568" t="s">
        <v>2683</v>
      </c>
    </row>
    <row r="2569" spans="1:9" x14ac:dyDescent="0.3">
      <c r="A2569" t="s">
        <v>10122</v>
      </c>
      <c r="B2569" t="s">
        <v>99</v>
      </c>
      <c r="C2569">
        <v>9406582649</v>
      </c>
      <c r="D2569" s="2">
        <v>1</v>
      </c>
      <c r="E2569" t="str">
        <f>"4574674200773125"</f>
        <v>4574674200773125</v>
      </c>
      <c r="F2569" t="str">
        <f>"234"</f>
        <v>234</v>
      </c>
      <c r="G2569">
        <v>1</v>
      </c>
      <c r="H2569">
        <v>2023</v>
      </c>
      <c r="I2569" t="s">
        <v>2684</v>
      </c>
    </row>
    <row r="2570" spans="1:9" x14ac:dyDescent="0.3">
      <c r="A2570" t="s">
        <v>10122</v>
      </c>
      <c r="B2570" t="s">
        <v>99</v>
      </c>
      <c r="C2570">
        <v>9406582649</v>
      </c>
      <c r="D2570" s="2">
        <v>1</v>
      </c>
      <c r="E2570" t="str">
        <f>"4574674200772895"</f>
        <v>4574674200772895</v>
      </c>
      <c r="F2570" t="str">
        <f>"768"</f>
        <v>768</v>
      </c>
      <c r="G2570">
        <v>1</v>
      </c>
      <c r="H2570">
        <v>2023</v>
      </c>
      <c r="I2570" t="s">
        <v>2685</v>
      </c>
    </row>
    <row r="2571" spans="1:9" x14ac:dyDescent="0.3">
      <c r="A2571" t="s">
        <v>10123</v>
      </c>
      <c r="B2571" t="s">
        <v>100</v>
      </c>
      <c r="C2571">
        <v>9406582649</v>
      </c>
      <c r="D2571" s="2">
        <v>1</v>
      </c>
      <c r="E2571" t="str">
        <f>"4574674200772903"</f>
        <v>4574674200772903</v>
      </c>
      <c r="F2571" t="str">
        <f>"775"</f>
        <v>775</v>
      </c>
      <c r="G2571">
        <v>1</v>
      </c>
      <c r="H2571">
        <v>2023</v>
      </c>
      <c r="I2571" t="s">
        <v>2686</v>
      </c>
    </row>
    <row r="2572" spans="1:9" x14ac:dyDescent="0.3">
      <c r="A2572" t="s">
        <v>10123</v>
      </c>
      <c r="B2572" t="s">
        <v>100</v>
      </c>
      <c r="C2572">
        <v>9406582649</v>
      </c>
      <c r="D2572" s="2">
        <v>1</v>
      </c>
      <c r="E2572" t="str">
        <f>"4574674200772929"</f>
        <v>4574674200772929</v>
      </c>
      <c r="F2572" t="str">
        <f>"769"</f>
        <v>769</v>
      </c>
      <c r="G2572">
        <v>1</v>
      </c>
      <c r="H2572">
        <v>2023</v>
      </c>
      <c r="I2572" t="s">
        <v>2687</v>
      </c>
    </row>
    <row r="2573" spans="1:9" x14ac:dyDescent="0.3">
      <c r="A2573" t="s">
        <v>10123</v>
      </c>
      <c r="B2573" t="s">
        <v>100</v>
      </c>
      <c r="C2573">
        <v>9406582649</v>
      </c>
      <c r="D2573" s="2">
        <v>1</v>
      </c>
      <c r="E2573" t="str">
        <f>"4574674200772952"</f>
        <v>4574674200772952</v>
      </c>
      <c r="F2573" t="str">
        <f>"993"</f>
        <v>993</v>
      </c>
      <c r="G2573">
        <v>1</v>
      </c>
      <c r="H2573">
        <v>2023</v>
      </c>
      <c r="I2573" t="s">
        <v>2688</v>
      </c>
    </row>
    <row r="2574" spans="1:9" x14ac:dyDescent="0.3">
      <c r="A2574" t="s">
        <v>10123</v>
      </c>
      <c r="B2574" t="s">
        <v>100</v>
      </c>
      <c r="C2574">
        <v>9406582649</v>
      </c>
      <c r="D2574" s="2">
        <v>1</v>
      </c>
      <c r="E2574" t="str">
        <f>"4574674200773315"</f>
        <v>4574674200773315</v>
      </c>
      <c r="F2574" t="str">
        <f>"102"</f>
        <v>102</v>
      </c>
      <c r="G2574">
        <v>1</v>
      </c>
      <c r="H2574">
        <v>2023</v>
      </c>
      <c r="I2574" t="s">
        <v>2689</v>
      </c>
    </row>
    <row r="2575" spans="1:9" x14ac:dyDescent="0.3">
      <c r="A2575" t="s">
        <v>10123</v>
      </c>
      <c r="B2575" t="s">
        <v>100</v>
      </c>
      <c r="C2575">
        <v>9406582649</v>
      </c>
      <c r="D2575" s="2">
        <v>1</v>
      </c>
      <c r="E2575" t="str">
        <f>"4574674200772994"</f>
        <v>4574674200772994</v>
      </c>
      <c r="F2575" t="str">
        <f>"142"</f>
        <v>142</v>
      </c>
      <c r="G2575">
        <v>1</v>
      </c>
      <c r="H2575">
        <v>2023</v>
      </c>
      <c r="I2575" t="s">
        <v>2690</v>
      </c>
    </row>
    <row r="2576" spans="1:9" x14ac:dyDescent="0.3">
      <c r="A2576" t="s">
        <v>10123</v>
      </c>
      <c r="B2576" t="s">
        <v>100</v>
      </c>
      <c r="C2576">
        <v>9406582649</v>
      </c>
      <c r="D2576" s="2">
        <v>1</v>
      </c>
      <c r="E2576" t="str">
        <f>"4574674200773372"</f>
        <v>4574674200773372</v>
      </c>
      <c r="F2576" t="str">
        <f>"422"</f>
        <v>422</v>
      </c>
      <c r="G2576">
        <v>1</v>
      </c>
      <c r="H2576">
        <v>2023</v>
      </c>
      <c r="I2576" t="s">
        <v>2691</v>
      </c>
    </row>
    <row r="2577" spans="1:9" x14ac:dyDescent="0.3">
      <c r="A2577" t="s">
        <v>10123</v>
      </c>
      <c r="B2577" t="s">
        <v>100</v>
      </c>
      <c r="C2577">
        <v>9406582649</v>
      </c>
      <c r="D2577" s="2">
        <v>1</v>
      </c>
      <c r="E2577" t="str">
        <f>"4574674200773422"</f>
        <v>4574674200773422</v>
      </c>
      <c r="F2577" t="str">
        <f>"430"</f>
        <v>430</v>
      </c>
      <c r="G2577">
        <v>1</v>
      </c>
      <c r="H2577">
        <v>2023</v>
      </c>
      <c r="I2577" t="s">
        <v>2692</v>
      </c>
    </row>
    <row r="2578" spans="1:9" x14ac:dyDescent="0.3">
      <c r="A2578" t="s">
        <v>10123</v>
      </c>
      <c r="B2578" t="s">
        <v>100</v>
      </c>
      <c r="C2578">
        <v>9406582649</v>
      </c>
      <c r="D2578" s="2">
        <v>1</v>
      </c>
      <c r="E2578" t="str">
        <f>"4574674200773430"</f>
        <v>4574674200773430</v>
      </c>
      <c r="F2578" t="str">
        <f>"762"</f>
        <v>762</v>
      </c>
      <c r="G2578">
        <v>1</v>
      </c>
      <c r="H2578">
        <v>2023</v>
      </c>
      <c r="I2578" t="s">
        <v>2693</v>
      </c>
    </row>
    <row r="2579" spans="1:9" x14ac:dyDescent="0.3">
      <c r="A2579" t="s">
        <v>10123</v>
      </c>
      <c r="B2579" t="s">
        <v>100</v>
      </c>
      <c r="C2579">
        <v>9406582649</v>
      </c>
      <c r="D2579" s="2">
        <v>1</v>
      </c>
      <c r="E2579" t="str">
        <f>"4574674200773448"</f>
        <v>4574674200773448</v>
      </c>
      <c r="F2579" t="str">
        <f>"639"</f>
        <v>639</v>
      </c>
      <c r="G2579">
        <v>1</v>
      </c>
      <c r="H2579">
        <v>2023</v>
      </c>
      <c r="I2579" t="s">
        <v>2694</v>
      </c>
    </row>
    <row r="2580" spans="1:9" x14ac:dyDescent="0.3">
      <c r="A2580" t="s">
        <v>10123</v>
      </c>
      <c r="B2580" t="s">
        <v>100</v>
      </c>
      <c r="C2580">
        <v>9406582649</v>
      </c>
      <c r="D2580" s="2">
        <v>1</v>
      </c>
      <c r="E2580" t="str">
        <f>"4574674200773695"</f>
        <v>4574674200773695</v>
      </c>
      <c r="F2580" t="str">
        <f>"253"</f>
        <v>253</v>
      </c>
      <c r="G2580">
        <v>1</v>
      </c>
      <c r="H2580">
        <v>2023</v>
      </c>
      <c r="I2580" t="s">
        <v>2695</v>
      </c>
    </row>
    <row r="2581" spans="1:9" x14ac:dyDescent="0.3">
      <c r="A2581" t="s">
        <v>10124</v>
      </c>
      <c r="B2581" t="s">
        <v>101</v>
      </c>
      <c r="C2581">
        <v>9406582649</v>
      </c>
      <c r="D2581" s="2">
        <v>1</v>
      </c>
      <c r="E2581" t="str">
        <f>"4574674200773489"</f>
        <v>4574674200773489</v>
      </c>
      <c r="F2581" t="str">
        <f>"836"</f>
        <v>836</v>
      </c>
      <c r="G2581">
        <v>1</v>
      </c>
      <c r="H2581">
        <v>2023</v>
      </c>
      <c r="I2581" t="s">
        <v>2696</v>
      </c>
    </row>
    <row r="2582" spans="1:9" x14ac:dyDescent="0.3">
      <c r="A2582" t="s">
        <v>10124</v>
      </c>
      <c r="B2582" t="s">
        <v>101</v>
      </c>
      <c r="C2582">
        <v>9406582649</v>
      </c>
      <c r="D2582" s="2">
        <v>1</v>
      </c>
      <c r="E2582" t="str">
        <f>"4574674200773737"</f>
        <v>4574674200773737</v>
      </c>
      <c r="F2582" t="str">
        <f>"635"</f>
        <v>635</v>
      </c>
      <c r="G2582">
        <v>1</v>
      </c>
      <c r="H2582">
        <v>2023</v>
      </c>
      <c r="I2582" t="s">
        <v>2697</v>
      </c>
    </row>
    <row r="2583" spans="1:9" x14ac:dyDescent="0.3">
      <c r="A2583" t="s">
        <v>10124</v>
      </c>
      <c r="B2583" t="s">
        <v>101</v>
      </c>
      <c r="C2583">
        <v>9406582649</v>
      </c>
      <c r="D2583" s="2">
        <v>1</v>
      </c>
      <c r="E2583" t="str">
        <f>"4574674200773513"</f>
        <v>4574674200773513</v>
      </c>
      <c r="F2583" t="str">
        <f>"070"</f>
        <v>070</v>
      </c>
      <c r="G2583">
        <v>1</v>
      </c>
      <c r="H2583">
        <v>2023</v>
      </c>
      <c r="I2583" t="s">
        <v>2698</v>
      </c>
    </row>
    <row r="2584" spans="1:9" x14ac:dyDescent="0.3">
      <c r="A2584" t="s">
        <v>10124</v>
      </c>
      <c r="B2584" t="s">
        <v>101</v>
      </c>
      <c r="C2584">
        <v>9406582649</v>
      </c>
      <c r="D2584" s="2">
        <v>1</v>
      </c>
      <c r="E2584" t="str">
        <f>"4574674200773539"</f>
        <v>4574674200773539</v>
      </c>
      <c r="F2584" t="str">
        <f>"375"</f>
        <v>375</v>
      </c>
      <c r="G2584">
        <v>1</v>
      </c>
      <c r="H2584">
        <v>2023</v>
      </c>
      <c r="I2584" t="s">
        <v>2699</v>
      </c>
    </row>
    <row r="2585" spans="1:9" x14ac:dyDescent="0.3">
      <c r="A2585" t="s">
        <v>10124</v>
      </c>
      <c r="B2585" t="s">
        <v>101</v>
      </c>
      <c r="C2585">
        <v>9406582649</v>
      </c>
      <c r="D2585" s="2">
        <v>1</v>
      </c>
      <c r="E2585" t="str">
        <f>"4574674200773547"</f>
        <v>4574674200773547</v>
      </c>
      <c r="F2585" t="str">
        <f>"663"</f>
        <v>663</v>
      </c>
      <c r="G2585">
        <v>1</v>
      </c>
      <c r="H2585">
        <v>2023</v>
      </c>
      <c r="I2585" t="s">
        <v>2700</v>
      </c>
    </row>
    <row r="2586" spans="1:9" x14ac:dyDescent="0.3">
      <c r="A2586" t="s">
        <v>10124</v>
      </c>
      <c r="B2586" t="s">
        <v>101</v>
      </c>
      <c r="C2586">
        <v>9406582649</v>
      </c>
      <c r="D2586" s="2">
        <v>1</v>
      </c>
      <c r="E2586" t="str">
        <f>"4574674200773554"</f>
        <v>4574674200773554</v>
      </c>
      <c r="F2586" t="str">
        <f>"889"</f>
        <v>889</v>
      </c>
      <c r="G2586">
        <v>1</v>
      </c>
      <c r="H2586">
        <v>2023</v>
      </c>
      <c r="I2586" t="s">
        <v>2701</v>
      </c>
    </row>
    <row r="2587" spans="1:9" x14ac:dyDescent="0.3">
      <c r="A2587" t="s">
        <v>10124</v>
      </c>
      <c r="B2587" t="s">
        <v>101</v>
      </c>
      <c r="C2587">
        <v>9406582649</v>
      </c>
      <c r="D2587" s="2">
        <v>1</v>
      </c>
      <c r="E2587" t="str">
        <f>"4574674200773851"</f>
        <v>4574674200773851</v>
      </c>
      <c r="F2587" t="str">
        <f>"613"</f>
        <v>613</v>
      </c>
      <c r="G2587">
        <v>1</v>
      </c>
      <c r="H2587">
        <v>2023</v>
      </c>
      <c r="I2587" t="s">
        <v>2702</v>
      </c>
    </row>
    <row r="2588" spans="1:9" x14ac:dyDescent="0.3">
      <c r="A2588" t="s">
        <v>10124</v>
      </c>
      <c r="B2588" t="s">
        <v>101</v>
      </c>
      <c r="C2588">
        <v>9406582649</v>
      </c>
      <c r="D2588" s="2">
        <v>1</v>
      </c>
      <c r="E2588" t="str">
        <f>"4574674200773893"</f>
        <v>4574674200773893</v>
      </c>
      <c r="F2588" t="str">
        <f>"420"</f>
        <v>420</v>
      </c>
      <c r="G2588">
        <v>1</v>
      </c>
      <c r="H2588">
        <v>2023</v>
      </c>
      <c r="I2588" t="s">
        <v>2703</v>
      </c>
    </row>
    <row r="2589" spans="1:9" x14ac:dyDescent="0.3">
      <c r="A2589" t="s">
        <v>10124</v>
      </c>
      <c r="B2589" t="s">
        <v>101</v>
      </c>
      <c r="C2589">
        <v>9406582649</v>
      </c>
      <c r="D2589" s="2">
        <v>1</v>
      </c>
      <c r="E2589" t="str">
        <f>"4574674200773596"</f>
        <v>4574674200773596</v>
      </c>
      <c r="F2589" t="str">
        <f>"545"</f>
        <v>545</v>
      </c>
      <c r="G2589">
        <v>1</v>
      </c>
      <c r="H2589">
        <v>2023</v>
      </c>
      <c r="I2589" t="s">
        <v>2704</v>
      </c>
    </row>
    <row r="2590" spans="1:9" x14ac:dyDescent="0.3">
      <c r="A2590" t="s">
        <v>10124</v>
      </c>
      <c r="B2590" t="s">
        <v>101</v>
      </c>
      <c r="C2590">
        <v>9406582649</v>
      </c>
      <c r="D2590" s="2">
        <v>1</v>
      </c>
      <c r="E2590" t="str">
        <f>"4574674200774024"</f>
        <v>4574674200774024</v>
      </c>
      <c r="F2590" t="str">
        <f>"090"</f>
        <v>090</v>
      </c>
      <c r="G2590">
        <v>1</v>
      </c>
      <c r="H2590">
        <v>2023</v>
      </c>
      <c r="I2590" t="s">
        <v>2705</v>
      </c>
    </row>
    <row r="2591" spans="1:9" x14ac:dyDescent="0.3">
      <c r="A2591" t="s">
        <v>10125</v>
      </c>
      <c r="B2591" t="s">
        <v>102</v>
      </c>
      <c r="C2591">
        <v>9406582649</v>
      </c>
      <c r="D2591" s="2">
        <v>1</v>
      </c>
      <c r="E2591" t="str">
        <f>"4574674200774206"</f>
        <v>4574674200774206</v>
      </c>
      <c r="F2591" t="str">
        <f>"430"</f>
        <v>430</v>
      </c>
      <c r="G2591">
        <v>1</v>
      </c>
      <c r="H2591">
        <v>2023</v>
      </c>
      <c r="I2591" t="s">
        <v>2706</v>
      </c>
    </row>
    <row r="2592" spans="1:9" x14ac:dyDescent="0.3">
      <c r="A2592" t="s">
        <v>10125</v>
      </c>
      <c r="B2592" t="s">
        <v>102</v>
      </c>
      <c r="C2592">
        <v>9406582649</v>
      </c>
      <c r="D2592" s="2">
        <v>1</v>
      </c>
      <c r="E2592" t="str">
        <f>"4574674200774248"</f>
        <v>4574674200774248</v>
      </c>
      <c r="F2592" t="str">
        <f>"721"</f>
        <v>721</v>
      </c>
      <c r="G2592">
        <v>1</v>
      </c>
      <c r="H2592">
        <v>2023</v>
      </c>
      <c r="I2592" t="s">
        <v>2707</v>
      </c>
    </row>
    <row r="2593" spans="1:9" x14ac:dyDescent="0.3">
      <c r="A2593" t="s">
        <v>10125</v>
      </c>
      <c r="B2593" t="s">
        <v>102</v>
      </c>
      <c r="C2593">
        <v>9406582649</v>
      </c>
      <c r="D2593" s="2">
        <v>1</v>
      </c>
      <c r="E2593" t="str">
        <f>"4574674200774099"</f>
        <v>4574674200774099</v>
      </c>
      <c r="F2593" t="str">
        <f>"138"</f>
        <v>138</v>
      </c>
      <c r="G2593">
        <v>1</v>
      </c>
      <c r="H2593">
        <v>2023</v>
      </c>
      <c r="I2593" t="s">
        <v>2708</v>
      </c>
    </row>
    <row r="2594" spans="1:9" x14ac:dyDescent="0.3">
      <c r="A2594" t="s">
        <v>10125</v>
      </c>
      <c r="B2594" t="s">
        <v>102</v>
      </c>
      <c r="C2594">
        <v>9406582649</v>
      </c>
      <c r="D2594" s="2">
        <v>1</v>
      </c>
      <c r="E2594" t="str">
        <f>"4574674200774065"</f>
        <v>4574674200774065</v>
      </c>
      <c r="F2594" t="str">
        <f>"036"</f>
        <v>036</v>
      </c>
      <c r="G2594">
        <v>1</v>
      </c>
      <c r="H2594">
        <v>2023</v>
      </c>
      <c r="I2594" t="s">
        <v>2709</v>
      </c>
    </row>
    <row r="2595" spans="1:9" x14ac:dyDescent="0.3">
      <c r="A2595" t="s">
        <v>10125</v>
      </c>
      <c r="B2595" t="s">
        <v>102</v>
      </c>
      <c r="C2595">
        <v>9406582649</v>
      </c>
      <c r="D2595" s="2">
        <v>1</v>
      </c>
      <c r="E2595" t="str">
        <f>"4574674200774057"</f>
        <v>4574674200774057</v>
      </c>
      <c r="F2595" t="str">
        <f>"987"</f>
        <v>987</v>
      </c>
      <c r="G2595">
        <v>1</v>
      </c>
      <c r="H2595">
        <v>2023</v>
      </c>
      <c r="I2595" t="s">
        <v>2710</v>
      </c>
    </row>
    <row r="2596" spans="1:9" x14ac:dyDescent="0.3">
      <c r="A2596" t="s">
        <v>10125</v>
      </c>
      <c r="B2596" t="s">
        <v>102</v>
      </c>
      <c r="C2596">
        <v>9406582649</v>
      </c>
      <c r="D2596" s="2">
        <v>1</v>
      </c>
      <c r="E2596" t="str">
        <f>"4574674200774123"</f>
        <v>4574674200774123</v>
      </c>
      <c r="F2596" t="str">
        <f>"879"</f>
        <v>879</v>
      </c>
      <c r="G2596">
        <v>1</v>
      </c>
      <c r="H2596">
        <v>2023</v>
      </c>
      <c r="I2596" t="s">
        <v>2711</v>
      </c>
    </row>
    <row r="2597" spans="1:9" x14ac:dyDescent="0.3">
      <c r="A2597" t="s">
        <v>10125</v>
      </c>
      <c r="B2597" t="s">
        <v>102</v>
      </c>
      <c r="C2597">
        <v>9406582649</v>
      </c>
      <c r="D2597" s="2">
        <v>1</v>
      </c>
      <c r="E2597" t="str">
        <f>"4574674200774396"</f>
        <v>4574674200774396</v>
      </c>
      <c r="F2597" t="str">
        <f>"757"</f>
        <v>757</v>
      </c>
      <c r="G2597">
        <v>1</v>
      </c>
      <c r="H2597">
        <v>2023</v>
      </c>
      <c r="I2597" t="s">
        <v>2712</v>
      </c>
    </row>
    <row r="2598" spans="1:9" x14ac:dyDescent="0.3">
      <c r="A2598" t="s">
        <v>10125</v>
      </c>
      <c r="B2598" t="s">
        <v>102</v>
      </c>
      <c r="C2598">
        <v>9406582649</v>
      </c>
      <c r="D2598" s="2">
        <v>1</v>
      </c>
      <c r="E2598" t="str">
        <f>"4574674200774164"</f>
        <v>4574674200774164</v>
      </c>
      <c r="F2598" t="str">
        <f>"250"</f>
        <v>250</v>
      </c>
      <c r="G2598">
        <v>1</v>
      </c>
      <c r="H2598">
        <v>2023</v>
      </c>
      <c r="I2598" t="s">
        <v>2713</v>
      </c>
    </row>
    <row r="2599" spans="1:9" x14ac:dyDescent="0.3">
      <c r="A2599" t="s">
        <v>10125</v>
      </c>
      <c r="B2599" t="s">
        <v>102</v>
      </c>
      <c r="C2599">
        <v>9406582649</v>
      </c>
      <c r="D2599" s="2">
        <v>1</v>
      </c>
      <c r="E2599" t="str">
        <f>"4574674200774503"</f>
        <v>4574674200774503</v>
      </c>
      <c r="F2599" t="str">
        <f>"820"</f>
        <v>820</v>
      </c>
      <c r="G2599">
        <v>1</v>
      </c>
      <c r="H2599">
        <v>2023</v>
      </c>
      <c r="I2599" t="s">
        <v>2714</v>
      </c>
    </row>
    <row r="2600" spans="1:9" x14ac:dyDescent="0.3">
      <c r="A2600" t="s">
        <v>10125</v>
      </c>
      <c r="B2600" t="s">
        <v>102</v>
      </c>
      <c r="C2600">
        <v>9406582649</v>
      </c>
      <c r="D2600" s="2">
        <v>1</v>
      </c>
      <c r="E2600" t="str">
        <f>"4574674200774586"</f>
        <v>4574674200774586</v>
      </c>
      <c r="F2600" t="str">
        <f>"462"</f>
        <v>462</v>
      </c>
      <c r="G2600">
        <v>1</v>
      </c>
      <c r="H2600">
        <v>2023</v>
      </c>
      <c r="I2600" t="s">
        <v>2715</v>
      </c>
    </row>
    <row r="2601" spans="1:9" x14ac:dyDescent="0.3">
      <c r="A2601" t="s">
        <v>10126</v>
      </c>
      <c r="B2601" t="s">
        <v>103</v>
      </c>
      <c r="C2601">
        <v>9406582649</v>
      </c>
      <c r="D2601" s="2">
        <v>1</v>
      </c>
      <c r="E2601" t="str">
        <f>"4574674200774636"</f>
        <v>4574674200774636</v>
      </c>
      <c r="F2601" t="str">
        <f>"707"</f>
        <v>707</v>
      </c>
      <c r="G2601">
        <v>1</v>
      </c>
      <c r="H2601">
        <v>2023</v>
      </c>
      <c r="I2601" t="s">
        <v>2716</v>
      </c>
    </row>
    <row r="2602" spans="1:9" x14ac:dyDescent="0.3">
      <c r="A2602" t="s">
        <v>10126</v>
      </c>
      <c r="B2602" t="s">
        <v>103</v>
      </c>
      <c r="C2602">
        <v>9406582649</v>
      </c>
      <c r="D2602" s="2">
        <v>1</v>
      </c>
      <c r="E2602" t="str">
        <f>"4574674200774842"</f>
        <v>4574674200774842</v>
      </c>
      <c r="F2602" t="str">
        <f>"906"</f>
        <v>906</v>
      </c>
      <c r="G2602">
        <v>1</v>
      </c>
      <c r="H2602">
        <v>2023</v>
      </c>
      <c r="I2602" t="s">
        <v>2717</v>
      </c>
    </row>
    <row r="2603" spans="1:9" x14ac:dyDescent="0.3">
      <c r="A2603" t="s">
        <v>10126</v>
      </c>
      <c r="B2603" t="s">
        <v>103</v>
      </c>
      <c r="C2603">
        <v>9406582649</v>
      </c>
      <c r="D2603" s="2">
        <v>1</v>
      </c>
      <c r="E2603" t="str">
        <f>"4574674200774917"</f>
        <v>4574674200774917</v>
      </c>
      <c r="F2603" t="str">
        <f>"430"</f>
        <v>430</v>
      </c>
      <c r="G2603">
        <v>1</v>
      </c>
      <c r="H2603">
        <v>2023</v>
      </c>
      <c r="I2603" t="s">
        <v>2718</v>
      </c>
    </row>
    <row r="2604" spans="1:9" x14ac:dyDescent="0.3">
      <c r="A2604" t="s">
        <v>10126</v>
      </c>
      <c r="B2604" t="s">
        <v>103</v>
      </c>
      <c r="C2604">
        <v>9406582649</v>
      </c>
      <c r="D2604" s="2">
        <v>1</v>
      </c>
      <c r="E2604" t="str">
        <f>"4574674200774685"</f>
        <v>4574674200774685</v>
      </c>
      <c r="F2604" t="str">
        <f>"347"</f>
        <v>347</v>
      </c>
      <c r="G2604">
        <v>1</v>
      </c>
      <c r="H2604">
        <v>2023</v>
      </c>
      <c r="I2604" t="s">
        <v>2719</v>
      </c>
    </row>
    <row r="2605" spans="1:9" x14ac:dyDescent="0.3">
      <c r="A2605" t="s">
        <v>10126</v>
      </c>
      <c r="B2605" t="s">
        <v>103</v>
      </c>
      <c r="C2605">
        <v>9406582649</v>
      </c>
      <c r="D2605" s="2">
        <v>1</v>
      </c>
      <c r="E2605" t="str">
        <f>"4574674200774693"</f>
        <v>4574674200774693</v>
      </c>
      <c r="F2605" t="str">
        <f>"706"</f>
        <v>706</v>
      </c>
      <c r="G2605">
        <v>1</v>
      </c>
      <c r="H2605">
        <v>2023</v>
      </c>
      <c r="I2605" t="s">
        <v>2720</v>
      </c>
    </row>
    <row r="2606" spans="1:9" x14ac:dyDescent="0.3">
      <c r="A2606" t="s">
        <v>10126</v>
      </c>
      <c r="B2606" t="s">
        <v>103</v>
      </c>
      <c r="C2606">
        <v>9406582649</v>
      </c>
      <c r="D2606" s="2">
        <v>1</v>
      </c>
      <c r="E2606" t="str">
        <f>"4574674200774727"</f>
        <v>4574674200774727</v>
      </c>
      <c r="F2606" t="str">
        <f>"837"</f>
        <v>837</v>
      </c>
      <c r="G2606">
        <v>1</v>
      </c>
      <c r="H2606">
        <v>2023</v>
      </c>
      <c r="I2606" t="s">
        <v>2721</v>
      </c>
    </row>
    <row r="2607" spans="1:9" x14ac:dyDescent="0.3">
      <c r="A2607" t="s">
        <v>10126</v>
      </c>
      <c r="B2607" t="s">
        <v>103</v>
      </c>
      <c r="C2607">
        <v>9406582649</v>
      </c>
      <c r="D2607" s="2">
        <v>1</v>
      </c>
      <c r="E2607" t="str">
        <f>"4574674200774719"</f>
        <v>4574674200774719</v>
      </c>
      <c r="F2607" t="str">
        <f>"700"</f>
        <v>700</v>
      </c>
      <c r="G2607">
        <v>1</v>
      </c>
      <c r="H2607">
        <v>2023</v>
      </c>
      <c r="I2607" t="s">
        <v>2722</v>
      </c>
    </row>
    <row r="2608" spans="1:9" x14ac:dyDescent="0.3">
      <c r="A2608" t="s">
        <v>10126</v>
      </c>
      <c r="B2608" t="s">
        <v>103</v>
      </c>
      <c r="C2608">
        <v>9406582649</v>
      </c>
      <c r="D2608" s="2">
        <v>1</v>
      </c>
      <c r="E2608" t="str">
        <f>"4574674200775013"</f>
        <v>4574674200775013</v>
      </c>
      <c r="F2608" t="str">
        <f>"902"</f>
        <v>902</v>
      </c>
      <c r="G2608">
        <v>1</v>
      </c>
      <c r="H2608">
        <v>2023</v>
      </c>
      <c r="I2608" t="s">
        <v>2723</v>
      </c>
    </row>
    <row r="2609" spans="1:9" x14ac:dyDescent="0.3">
      <c r="A2609" t="s">
        <v>10126</v>
      </c>
      <c r="B2609" t="s">
        <v>103</v>
      </c>
      <c r="C2609">
        <v>9406582649</v>
      </c>
      <c r="D2609" s="2">
        <v>1</v>
      </c>
      <c r="E2609" t="str">
        <f>"4574674200775088"</f>
        <v>4574674200775088</v>
      </c>
      <c r="F2609" t="str">
        <f>"465"</f>
        <v>465</v>
      </c>
      <c r="G2609">
        <v>1</v>
      </c>
      <c r="H2609">
        <v>2023</v>
      </c>
      <c r="I2609" t="s">
        <v>2724</v>
      </c>
    </row>
    <row r="2610" spans="1:9" x14ac:dyDescent="0.3">
      <c r="A2610" t="s">
        <v>10126</v>
      </c>
      <c r="B2610" t="s">
        <v>103</v>
      </c>
      <c r="C2610">
        <v>9406582649</v>
      </c>
      <c r="D2610" s="2">
        <v>1</v>
      </c>
      <c r="E2610" t="str">
        <f>"4574674200774750"</f>
        <v>4574674200774750</v>
      </c>
      <c r="F2610" t="str">
        <f>"616"</f>
        <v>616</v>
      </c>
      <c r="G2610">
        <v>1</v>
      </c>
      <c r="H2610">
        <v>2023</v>
      </c>
      <c r="I2610" t="s">
        <v>2725</v>
      </c>
    </row>
    <row r="2611" spans="1:9" x14ac:dyDescent="0.3">
      <c r="A2611" t="s">
        <v>10127</v>
      </c>
      <c r="B2611" t="s">
        <v>104</v>
      </c>
      <c r="C2611">
        <v>9406582649</v>
      </c>
      <c r="D2611" s="2">
        <v>1</v>
      </c>
      <c r="E2611" t="str">
        <f>"4574674200775161"</f>
        <v>4574674200775161</v>
      </c>
      <c r="F2611" t="str">
        <f>"040"</f>
        <v>040</v>
      </c>
      <c r="G2611">
        <v>1</v>
      </c>
      <c r="H2611">
        <v>2023</v>
      </c>
      <c r="I2611" t="s">
        <v>2726</v>
      </c>
    </row>
    <row r="2612" spans="1:9" x14ac:dyDescent="0.3">
      <c r="A2612" t="s">
        <v>10127</v>
      </c>
      <c r="B2612" t="s">
        <v>104</v>
      </c>
      <c r="C2612">
        <v>9406582649</v>
      </c>
      <c r="D2612" s="2">
        <v>1</v>
      </c>
      <c r="E2612" t="str">
        <f>"4574674200775237"</f>
        <v>4574674200775237</v>
      </c>
      <c r="F2612" t="str">
        <f>"945"</f>
        <v>945</v>
      </c>
      <c r="G2612">
        <v>1</v>
      </c>
      <c r="H2612">
        <v>2023</v>
      </c>
      <c r="I2612" t="s">
        <v>2727</v>
      </c>
    </row>
    <row r="2613" spans="1:9" x14ac:dyDescent="0.3">
      <c r="A2613" t="s">
        <v>10127</v>
      </c>
      <c r="B2613" t="s">
        <v>104</v>
      </c>
      <c r="C2613">
        <v>9406582649</v>
      </c>
      <c r="D2613" s="2">
        <v>1</v>
      </c>
      <c r="E2613" t="str">
        <f>"4574674200775328"</f>
        <v>4574674200775328</v>
      </c>
      <c r="F2613" t="str">
        <f>"201"</f>
        <v>201</v>
      </c>
      <c r="G2613">
        <v>1</v>
      </c>
      <c r="H2613">
        <v>2023</v>
      </c>
      <c r="I2613" t="s">
        <v>2728</v>
      </c>
    </row>
    <row r="2614" spans="1:9" x14ac:dyDescent="0.3">
      <c r="A2614" t="s">
        <v>10127</v>
      </c>
      <c r="B2614" t="s">
        <v>104</v>
      </c>
      <c r="C2614">
        <v>9406582649</v>
      </c>
      <c r="D2614" s="2">
        <v>1</v>
      </c>
      <c r="E2614" t="str">
        <f>"4574674200775377"</f>
        <v>4574674200775377</v>
      </c>
      <c r="F2614" t="str">
        <f>"773"</f>
        <v>773</v>
      </c>
      <c r="G2614">
        <v>1</v>
      </c>
      <c r="H2614">
        <v>2023</v>
      </c>
      <c r="I2614" t="s">
        <v>2729</v>
      </c>
    </row>
    <row r="2615" spans="1:9" x14ac:dyDescent="0.3">
      <c r="A2615" t="s">
        <v>10127</v>
      </c>
      <c r="B2615" t="s">
        <v>104</v>
      </c>
      <c r="C2615">
        <v>9406582649</v>
      </c>
      <c r="D2615" s="2">
        <v>1</v>
      </c>
      <c r="E2615" t="str">
        <f>"4574674200775609"</f>
        <v>4574674200775609</v>
      </c>
      <c r="F2615" t="str">
        <f>"451"</f>
        <v>451</v>
      </c>
      <c r="G2615">
        <v>1</v>
      </c>
      <c r="H2615">
        <v>2023</v>
      </c>
      <c r="I2615" t="s">
        <v>2730</v>
      </c>
    </row>
    <row r="2616" spans="1:9" x14ac:dyDescent="0.3">
      <c r="A2616" t="s">
        <v>10127</v>
      </c>
      <c r="B2616" t="s">
        <v>104</v>
      </c>
      <c r="C2616">
        <v>9406582649</v>
      </c>
      <c r="D2616" s="2">
        <v>1</v>
      </c>
      <c r="E2616" t="str">
        <f>"4574674200774792"</f>
        <v>4574674200774792</v>
      </c>
      <c r="F2616" t="str">
        <f>"390"</f>
        <v>390</v>
      </c>
      <c r="G2616">
        <v>1</v>
      </c>
      <c r="H2616">
        <v>2023</v>
      </c>
      <c r="I2616" t="s">
        <v>2731</v>
      </c>
    </row>
    <row r="2617" spans="1:9" x14ac:dyDescent="0.3">
      <c r="A2617" t="s">
        <v>10127</v>
      </c>
      <c r="B2617" t="s">
        <v>104</v>
      </c>
      <c r="C2617">
        <v>9406582649</v>
      </c>
      <c r="D2617" s="2">
        <v>1</v>
      </c>
      <c r="E2617" t="str">
        <f>"4574674200775633"</f>
        <v>4574674200775633</v>
      </c>
      <c r="F2617" t="str">
        <f>"165"</f>
        <v>165</v>
      </c>
      <c r="G2617">
        <v>1</v>
      </c>
      <c r="H2617">
        <v>2023</v>
      </c>
      <c r="I2617" t="s">
        <v>2732</v>
      </c>
    </row>
    <row r="2618" spans="1:9" x14ac:dyDescent="0.3">
      <c r="A2618" t="s">
        <v>10127</v>
      </c>
      <c r="B2618" t="s">
        <v>104</v>
      </c>
      <c r="C2618">
        <v>9406582649</v>
      </c>
      <c r="D2618" s="2">
        <v>1</v>
      </c>
      <c r="E2618" t="str">
        <f>"4574674200775658"</f>
        <v>4574674200775658</v>
      </c>
      <c r="F2618" t="str">
        <f>"501"</f>
        <v>501</v>
      </c>
      <c r="G2618">
        <v>1</v>
      </c>
      <c r="H2618">
        <v>2023</v>
      </c>
      <c r="I2618" t="s">
        <v>2733</v>
      </c>
    </row>
    <row r="2619" spans="1:9" x14ac:dyDescent="0.3">
      <c r="A2619" t="s">
        <v>10127</v>
      </c>
      <c r="B2619" t="s">
        <v>104</v>
      </c>
      <c r="C2619">
        <v>9406582649</v>
      </c>
      <c r="D2619" s="2">
        <v>1</v>
      </c>
      <c r="E2619" t="str">
        <f>"4574674200775484"</f>
        <v>4574674200775484</v>
      </c>
      <c r="F2619" t="str">
        <f>"095"</f>
        <v>095</v>
      </c>
      <c r="G2619">
        <v>1</v>
      </c>
      <c r="H2619">
        <v>2023</v>
      </c>
      <c r="I2619" t="s">
        <v>2734</v>
      </c>
    </row>
    <row r="2620" spans="1:9" x14ac:dyDescent="0.3">
      <c r="A2620" t="s">
        <v>10127</v>
      </c>
      <c r="B2620" t="s">
        <v>104</v>
      </c>
      <c r="C2620">
        <v>9406582649</v>
      </c>
      <c r="D2620" s="2">
        <v>1</v>
      </c>
      <c r="E2620" t="str">
        <f>"4574674200775534"</f>
        <v>4574674200775534</v>
      </c>
      <c r="F2620" t="str">
        <f>"111"</f>
        <v>111</v>
      </c>
      <c r="G2620">
        <v>1</v>
      </c>
      <c r="H2620">
        <v>2023</v>
      </c>
      <c r="I2620" t="s">
        <v>2735</v>
      </c>
    </row>
    <row r="2621" spans="1:9" x14ac:dyDescent="0.3">
      <c r="A2621" t="s">
        <v>10128</v>
      </c>
      <c r="B2621" t="s">
        <v>105</v>
      </c>
      <c r="C2621">
        <v>9406582649</v>
      </c>
      <c r="D2621" s="2">
        <v>1</v>
      </c>
      <c r="E2621" t="str">
        <f>"4574674200775666"</f>
        <v>4574674200775666</v>
      </c>
      <c r="F2621" t="str">
        <f>"440"</f>
        <v>440</v>
      </c>
      <c r="G2621">
        <v>1</v>
      </c>
      <c r="H2621">
        <v>2023</v>
      </c>
      <c r="I2621" t="s">
        <v>2736</v>
      </c>
    </row>
    <row r="2622" spans="1:9" x14ac:dyDescent="0.3">
      <c r="A2622" t="s">
        <v>10128</v>
      </c>
      <c r="B2622" t="s">
        <v>105</v>
      </c>
      <c r="C2622">
        <v>9406582649</v>
      </c>
      <c r="D2622" s="2">
        <v>1</v>
      </c>
      <c r="E2622" t="str">
        <f>"4574674200775823"</f>
        <v>4574674200775823</v>
      </c>
      <c r="F2622" t="str">
        <f>"550"</f>
        <v>550</v>
      </c>
      <c r="G2622">
        <v>1</v>
      </c>
      <c r="H2622">
        <v>2023</v>
      </c>
      <c r="I2622" t="s">
        <v>2737</v>
      </c>
    </row>
    <row r="2623" spans="1:9" x14ac:dyDescent="0.3">
      <c r="A2623" t="s">
        <v>10128</v>
      </c>
      <c r="B2623" t="s">
        <v>105</v>
      </c>
      <c r="C2623">
        <v>9406582649</v>
      </c>
      <c r="D2623" s="2">
        <v>1</v>
      </c>
      <c r="E2623" t="str">
        <f>"4574674200775880"</f>
        <v>4574674200775880</v>
      </c>
      <c r="F2623" t="str">
        <f>"930"</f>
        <v>930</v>
      </c>
      <c r="G2623">
        <v>1</v>
      </c>
      <c r="H2623">
        <v>2023</v>
      </c>
      <c r="I2623" t="s">
        <v>2738</v>
      </c>
    </row>
    <row r="2624" spans="1:9" x14ac:dyDescent="0.3">
      <c r="A2624" t="s">
        <v>10128</v>
      </c>
      <c r="B2624" t="s">
        <v>105</v>
      </c>
      <c r="C2624">
        <v>9406582649</v>
      </c>
      <c r="D2624" s="2">
        <v>1</v>
      </c>
      <c r="E2624" t="str">
        <f>"4574674200775690"</f>
        <v>4574674200775690</v>
      </c>
      <c r="F2624" t="str">
        <f>"254"</f>
        <v>254</v>
      </c>
      <c r="G2624">
        <v>1</v>
      </c>
      <c r="H2624">
        <v>2023</v>
      </c>
      <c r="I2624" t="s">
        <v>2739</v>
      </c>
    </row>
    <row r="2625" spans="1:9" x14ac:dyDescent="0.3">
      <c r="A2625" t="s">
        <v>10128</v>
      </c>
      <c r="B2625" t="s">
        <v>105</v>
      </c>
      <c r="C2625">
        <v>9406582649</v>
      </c>
      <c r="D2625" s="2">
        <v>1</v>
      </c>
      <c r="E2625" t="str">
        <f>"4574674200775708"</f>
        <v>4574674200775708</v>
      </c>
      <c r="F2625" t="str">
        <f>"523"</f>
        <v>523</v>
      </c>
      <c r="G2625">
        <v>1</v>
      </c>
      <c r="H2625">
        <v>2023</v>
      </c>
      <c r="I2625" t="s">
        <v>2740</v>
      </c>
    </row>
    <row r="2626" spans="1:9" x14ac:dyDescent="0.3">
      <c r="A2626" t="s">
        <v>10128</v>
      </c>
      <c r="B2626" t="s">
        <v>105</v>
      </c>
      <c r="C2626">
        <v>9406582649</v>
      </c>
      <c r="D2626" s="2">
        <v>1</v>
      </c>
      <c r="E2626" t="str">
        <f>"4574674200775740"</f>
        <v>4574674200775740</v>
      </c>
      <c r="F2626" t="str">
        <f>"339"</f>
        <v>339</v>
      </c>
      <c r="G2626">
        <v>1</v>
      </c>
      <c r="H2626">
        <v>2023</v>
      </c>
      <c r="I2626" t="s">
        <v>2741</v>
      </c>
    </row>
    <row r="2627" spans="1:9" x14ac:dyDescent="0.3">
      <c r="A2627" t="s">
        <v>10128</v>
      </c>
      <c r="B2627" t="s">
        <v>105</v>
      </c>
      <c r="C2627">
        <v>9406582649</v>
      </c>
      <c r="D2627" s="2">
        <v>1</v>
      </c>
      <c r="E2627" t="str">
        <f>"4574674200775765"</f>
        <v>4574674200775765</v>
      </c>
      <c r="F2627" t="str">
        <f>"435"</f>
        <v>435</v>
      </c>
      <c r="G2627">
        <v>1</v>
      </c>
      <c r="H2627">
        <v>2023</v>
      </c>
      <c r="I2627" t="s">
        <v>2742</v>
      </c>
    </row>
    <row r="2628" spans="1:9" x14ac:dyDescent="0.3">
      <c r="A2628" t="s">
        <v>10128</v>
      </c>
      <c r="B2628" t="s">
        <v>105</v>
      </c>
      <c r="C2628">
        <v>9406582649</v>
      </c>
      <c r="D2628" s="2">
        <v>1</v>
      </c>
      <c r="E2628" t="str">
        <f>"4574674200776029"</f>
        <v>4574674200776029</v>
      </c>
      <c r="F2628" t="str">
        <f>"361"</f>
        <v>361</v>
      </c>
      <c r="G2628">
        <v>1</v>
      </c>
      <c r="H2628">
        <v>2023</v>
      </c>
      <c r="I2628" t="s">
        <v>2743</v>
      </c>
    </row>
    <row r="2629" spans="1:9" x14ac:dyDescent="0.3">
      <c r="A2629" t="s">
        <v>10128</v>
      </c>
      <c r="B2629" t="s">
        <v>105</v>
      </c>
      <c r="C2629">
        <v>9406582649</v>
      </c>
      <c r="D2629" s="2">
        <v>1</v>
      </c>
      <c r="E2629" t="str">
        <f>"4574674200776045"</f>
        <v>4574674200776045</v>
      </c>
      <c r="F2629" t="str">
        <f>"238"</f>
        <v>238</v>
      </c>
      <c r="G2629">
        <v>1</v>
      </c>
      <c r="H2629">
        <v>2023</v>
      </c>
      <c r="I2629" t="s">
        <v>2744</v>
      </c>
    </row>
    <row r="2630" spans="1:9" x14ac:dyDescent="0.3">
      <c r="A2630" t="s">
        <v>10128</v>
      </c>
      <c r="B2630" t="s">
        <v>105</v>
      </c>
      <c r="C2630">
        <v>9406582649</v>
      </c>
      <c r="D2630" s="2">
        <v>1</v>
      </c>
      <c r="E2630" t="str">
        <f>"4574674200776169"</f>
        <v>4574674200776169</v>
      </c>
      <c r="F2630" t="str">
        <f>"716"</f>
        <v>716</v>
      </c>
      <c r="G2630">
        <v>1</v>
      </c>
      <c r="H2630">
        <v>2023</v>
      </c>
      <c r="I2630" t="s">
        <v>2745</v>
      </c>
    </row>
    <row r="2631" spans="1:9" x14ac:dyDescent="0.3">
      <c r="A2631" t="s">
        <v>10129</v>
      </c>
      <c r="B2631" t="s">
        <v>106</v>
      </c>
      <c r="C2631">
        <v>9406582649</v>
      </c>
      <c r="D2631" s="2">
        <v>1</v>
      </c>
      <c r="E2631" t="str">
        <f>"4574674200775799"</f>
        <v>4574674200775799</v>
      </c>
      <c r="F2631" t="str">
        <f>"237"</f>
        <v>237</v>
      </c>
      <c r="G2631">
        <v>1</v>
      </c>
      <c r="H2631">
        <v>2023</v>
      </c>
      <c r="I2631" t="s">
        <v>2746</v>
      </c>
    </row>
    <row r="2632" spans="1:9" x14ac:dyDescent="0.3">
      <c r="A2632" t="s">
        <v>10129</v>
      </c>
      <c r="B2632" t="s">
        <v>106</v>
      </c>
      <c r="C2632">
        <v>9406582649</v>
      </c>
      <c r="D2632" s="2">
        <v>1</v>
      </c>
      <c r="E2632" t="str">
        <f>"4574674200776201"</f>
        <v>4574674200776201</v>
      </c>
      <c r="F2632" t="str">
        <f>"435"</f>
        <v>435</v>
      </c>
      <c r="G2632">
        <v>1</v>
      </c>
      <c r="H2632">
        <v>2023</v>
      </c>
      <c r="I2632" t="s">
        <v>2747</v>
      </c>
    </row>
    <row r="2633" spans="1:9" x14ac:dyDescent="0.3">
      <c r="A2633" t="s">
        <v>10129</v>
      </c>
      <c r="B2633" t="s">
        <v>106</v>
      </c>
      <c r="C2633">
        <v>9406582649</v>
      </c>
      <c r="D2633" s="2">
        <v>1</v>
      </c>
      <c r="E2633" t="str">
        <f>"4574674200776409"</f>
        <v>4574674200776409</v>
      </c>
      <c r="F2633" t="str">
        <f>"078"</f>
        <v>078</v>
      </c>
      <c r="G2633">
        <v>1</v>
      </c>
      <c r="H2633">
        <v>2023</v>
      </c>
      <c r="I2633" t="s">
        <v>2748</v>
      </c>
    </row>
    <row r="2634" spans="1:9" x14ac:dyDescent="0.3">
      <c r="A2634" t="s">
        <v>10129</v>
      </c>
      <c r="B2634" t="s">
        <v>106</v>
      </c>
      <c r="C2634">
        <v>9406582649</v>
      </c>
      <c r="D2634" s="2">
        <v>1</v>
      </c>
      <c r="E2634" t="str">
        <f>"4574674200776516"</f>
        <v>4574674200776516</v>
      </c>
      <c r="F2634" t="str">
        <f>"342"</f>
        <v>342</v>
      </c>
      <c r="G2634">
        <v>1</v>
      </c>
      <c r="H2634">
        <v>2023</v>
      </c>
      <c r="I2634" t="s">
        <v>2749</v>
      </c>
    </row>
    <row r="2635" spans="1:9" x14ac:dyDescent="0.3">
      <c r="A2635" t="s">
        <v>10129</v>
      </c>
      <c r="B2635" t="s">
        <v>106</v>
      </c>
      <c r="C2635">
        <v>9406582649</v>
      </c>
      <c r="D2635" s="2">
        <v>1</v>
      </c>
      <c r="E2635" t="str">
        <f>"4574674200776235"</f>
        <v>4574674200776235</v>
      </c>
      <c r="F2635" t="str">
        <f>"212"</f>
        <v>212</v>
      </c>
      <c r="G2635">
        <v>1</v>
      </c>
      <c r="H2635">
        <v>2023</v>
      </c>
      <c r="I2635" t="s">
        <v>2750</v>
      </c>
    </row>
    <row r="2636" spans="1:9" x14ac:dyDescent="0.3">
      <c r="A2636" t="s">
        <v>10129</v>
      </c>
      <c r="B2636" t="s">
        <v>106</v>
      </c>
      <c r="C2636">
        <v>9406582649</v>
      </c>
      <c r="D2636" s="2">
        <v>1</v>
      </c>
      <c r="E2636" t="str">
        <f>"4574674200776532"</f>
        <v>4574674200776532</v>
      </c>
      <c r="F2636" t="str">
        <f>"484"</f>
        <v>484</v>
      </c>
      <c r="G2636">
        <v>1</v>
      </c>
      <c r="H2636">
        <v>2023</v>
      </c>
      <c r="I2636" t="s">
        <v>2751</v>
      </c>
    </row>
    <row r="2637" spans="1:9" x14ac:dyDescent="0.3">
      <c r="A2637" t="s">
        <v>10129</v>
      </c>
      <c r="B2637" t="s">
        <v>106</v>
      </c>
      <c r="C2637">
        <v>9406582649</v>
      </c>
      <c r="D2637" s="2">
        <v>1</v>
      </c>
      <c r="E2637" t="str">
        <f>"4574674200776284"</f>
        <v>4574674200776284</v>
      </c>
      <c r="F2637" t="str">
        <f>"985"</f>
        <v>985</v>
      </c>
      <c r="G2637">
        <v>1</v>
      </c>
      <c r="H2637">
        <v>2023</v>
      </c>
      <c r="I2637" t="s">
        <v>2752</v>
      </c>
    </row>
    <row r="2638" spans="1:9" x14ac:dyDescent="0.3">
      <c r="A2638" t="s">
        <v>10129</v>
      </c>
      <c r="B2638" t="s">
        <v>106</v>
      </c>
      <c r="C2638">
        <v>9406582649</v>
      </c>
      <c r="D2638" s="2">
        <v>1</v>
      </c>
      <c r="E2638" t="str">
        <f>"4574674200776276"</f>
        <v>4574674200776276</v>
      </c>
      <c r="F2638" t="str">
        <f>"021"</f>
        <v>021</v>
      </c>
      <c r="G2638">
        <v>1</v>
      </c>
      <c r="H2638">
        <v>2023</v>
      </c>
      <c r="I2638" t="s">
        <v>2753</v>
      </c>
    </row>
    <row r="2639" spans="1:9" x14ac:dyDescent="0.3">
      <c r="A2639" t="s">
        <v>10129</v>
      </c>
      <c r="B2639" t="s">
        <v>106</v>
      </c>
      <c r="C2639">
        <v>9406582649</v>
      </c>
      <c r="D2639" s="2">
        <v>1</v>
      </c>
      <c r="E2639" t="str">
        <f>"4574674200776318"</f>
        <v>4574674200776318</v>
      </c>
      <c r="F2639" t="str">
        <f>"977"</f>
        <v>977</v>
      </c>
      <c r="G2639">
        <v>1</v>
      </c>
      <c r="H2639">
        <v>2023</v>
      </c>
      <c r="I2639" t="s">
        <v>2754</v>
      </c>
    </row>
    <row r="2640" spans="1:9" x14ac:dyDescent="0.3">
      <c r="A2640" t="s">
        <v>10129</v>
      </c>
      <c r="B2640" t="s">
        <v>106</v>
      </c>
      <c r="C2640">
        <v>9406582649</v>
      </c>
      <c r="D2640" s="2">
        <v>1</v>
      </c>
      <c r="E2640" t="str">
        <f>"4574674200776672"</f>
        <v>4574674200776672</v>
      </c>
      <c r="F2640" t="str">
        <f>"862"</f>
        <v>862</v>
      </c>
      <c r="G2640">
        <v>1</v>
      </c>
      <c r="H2640">
        <v>2023</v>
      </c>
      <c r="I2640" t="s">
        <v>2755</v>
      </c>
    </row>
    <row r="2641" spans="1:9" x14ac:dyDescent="0.3">
      <c r="A2641" t="s">
        <v>10130</v>
      </c>
      <c r="B2641" t="s">
        <v>107</v>
      </c>
      <c r="C2641">
        <v>9406582649</v>
      </c>
      <c r="D2641" s="2">
        <v>1</v>
      </c>
      <c r="E2641" t="str">
        <f>"4574674200776680"</f>
        <v>4574674200776680</v>
      </c>
      <c r="F2641" t="str">
        <f>"541"</f>
        <v>541</v>
      </c>
      <c r="G2641">
        <v>1</v>
      </c>
      <c r="H2641">
        <v>2023</v>
      </c>
      <c r="I2641" t="s">
        <v>2756</v>
      </c>
    </row>
    <row r="2642" spans="1:9" x14ac:dyDescent="0.3">
      <c r="A2642" t="s">
        <v>10130</v>
      </c>
      <c r="B2642" t="s">
        <v>107</v>
      </c>
      <c r="C2642">
        <v>9406582649</v>
      </c>
      <c r="D2642" s="2">
        <v>1</v>
      </c>
      <c r="E2642" t="str">
        <f>"4574674200776342"</f>
        <v>4574674200776342</v>
      </c>
      <c r="F2642" t="str">
        <f>"026"</f>
        <v>026</v>
      </c>
      <c r="G2642">
        <v>1</v>
      </c>
      <c r="H2642">
        <v>2023</v>
      </c>
      <c r="I2642" t="s">
        <v>2757</v>
      </c>
    </row>
    <row r="2643" spans="1:9" x14ac:dyDescent="0.3">
      <c r="A2643" t="s">
        <v>10130</v>
      </c>
      <c r="B2643" t="s">
        <v>107</v>
      </c>
      <c r="C2643">
        <v>9406582649</v>
      </c>
      <c r="D2643" s="2">
        <v>1</v>
      </c>
      <c r="E2643" t="str">
        <f>"4574674200776359"</f>
        <v>4574674200776359</v>
      </c>
      <c r="F2643" t="str">
        <f>"648"</f>
        <v>648</v>
      </c>
      <c r="G2643">
        <v>1</v>
      </c>
      <c r="H2643">
        <v>2023</v>
      </c>
      <c r="I2643" t="s">
        <v>2758</v>
      </c>
    </row>
    <row r="2644" spans="1:9" x14ac:dyDescent="0.3">
      <c r="A2644" t="s">
        <v>10130</v>
      </c>
      <c r="B2644" t="s">
        <v>107</v>
      </c>
      <c r="C2644">
        <v>9406582649</v>
      </c>
      <c r="D2644" s="2">
        <v>1</v>
      </c>
      <c r="E2644" t="str">
        <f>"4574674200777001"</f>
        <v>4574674200777001</v>
      </c>
      <c r="F2644" t="str">
        <f>"078"</f>
        <v>078</v>
      </c>
      <c r="G2644">
        <v>1</v>
      </c>
      <c r="H2644">
        <v>2023</v>
      </c>
      <c r="I2644" t="s">
        <v>2759</v>
      </c>
    </row>
    <row r="2645" spans="1:9" x14ac:dyDescent="0.3">
      <c r="A2645" t="s">
        <v>10130</v>
      </c>
      <c r="B2645" t="s">
        <v>107</v>
      </c>
      <c r="C2645">
        <v>9406582649</v>
      </c>
      <c r="D2645" s="2">
        <v>1</v>
      </c>
      <c r="E2645" t="str">
        <f>"4574674200776391"</f>
        <v>4574674200776391</v>
      </c>
      <c r="F2645" t="str">
        <f>"051"</f>
        <v>051</v>
      </c>
      <c r="G2645">
        <v>1</v>
      </c>
      <c r="H2645">
        <v>2023</v>
      </c>
      <c r="I2645" t="s">
        <v>2760</v>
      </c>
    </row>
    <row r="2646" spans="1:9" x14ac:dyDescent="0.3">
      <c r="A2646" t="s">
        <v>10130</v>
      </c>
      <c r="B2646" t="s">
        <v>107</v>
      </c>
      <c r="C2646">
        <v>9406582649</v>
      </c>
      <c r="D2646" s="2">
        <v>1</v>
      </c>
      <c r="E2646" t="str">
        <f>"4574674200776821"</f>
        <v>4574674200776821</v>
      </c>
      <c r="F2646" t="str">
        <f>"884"</f>
        <v>884</v>
      </c>
      <c r="G2646">
        <v>1</v>
      </c>
      <c r="H2646">
        <v>2023</v>
      </c>
      <c r="I2646" t="s">
        <v>2761</v>
      </c>
    </row>
    <row r="2647" spans="1:9" x14ac:dyDescent="0.3">
      <c r="A2647" t="s">
        <v>10130</v>
      </c>
      <c r="B2647" t="s">
        <v>107</v>
      </c>
      <c r="C2647">
        <v>9406582649</v>
      </c>
      <c r="D2647" s="2">
        <v>1</v>
      </c>
      <c r="E2647" t="str">
        <f>"4574674200776847"</f>
        <v>4574674200776847</v>
      </c>
      <c r="F2647" t="str">
        <f>"010"</f>
        <v>010</v>
      </c>
      <c r="G2647">
        <v>1</v>
      </c>
      <c r="H2647">
        <v>2023</v>
      </c>
      <c r="I2647" t="s">
        <v>2762</v>
      </c>
    </row>
    <row r="2648" spans="1:9" x14ac:dyDescent="0.3">
      <c r="A2648" t="s">
        <v>10130</v>
      </c>
      <c r="B2648" t="s">
        <v>107</v>
      </c>
      <c r="C2648">
        <v>9406582649</v>
      </c>
      <c r="D2648" s="2">
        <v>1</v>
      </c>
      <c r="E2648" t="str">
        <f>"4574674200777035"</f>
        <v>4574674200777035</v>
      </c>
      <c r="F2648" t="str">
        <f>"668"</f>
        <v>668</v>
      </c>
      <c r="G2648">
        <v>1</v>
      </c>
      <c r="H2648">
        <v>2023</v>
      </c>
      <c r="I2648" t="s">
        <v>2763</v>
      </c>
    </row>
    <row r="2649" spans="1:9" x14ac:dyDescent="0.3">
      <c r="A2649" t="s">
        <v>10130</v>
      </c>
      <c r="B2649" t="s">
        <v>107</v>
      </c>
      <c r="C2649">
        <v>9406582649</v>
      </c>
      <c r="D2649" s="2">
        <v>1</v>
      </c>
      <c r="E2649" t="str">
        <f>"4574674200777043"</f>
        <v>4574674200777043</v>
      </c>
      <c r="F2649" t="str">
        <f>"475"</f>
        <v>475</v>
      </c>
      <c r="G2649">
        <v>1</v>
      </c>
      <c r="H2649">
        <v>2023</v>
      </c>
      <c r="I2649" t="s">
        <v>2764</v>
      </c>
    </row>
    <row r="2650" spans="1:9" x14ac:dyDescent="0.3">
      <c r="A2650" t="s">
        <v>10130</v>
      </c>
      <c r="B2650" t="s">
        <v>107</v>
      </c>
      <c r="C2650">
        <v>9406582649</v>
      </c>
      <c r="D2650" s="2">
        <v>1</v>
      </c>
      <c r="E2650" t="str">
        <f>"4574674200777050"</f>
        <v>4574674200777050</v>
      </c>
      <c r="F2650" t="str">
        <f>"303"</f>
        <v>303</v>
      </c>
      <c r="G2650">
        <v>1</v>
      </c>
      <c r="H2650">
        <v>2023</v>
      </c>
      <c r="I2650" t="s">
        <v>2765</v>
      </c>
    </row>
    <row r="2651" spans="1:9" x14ac:dyDescent="0.3">
      <c r="A2651" t="s">
        <v>10131</v>
      </c>
      <c r="B2651" t="s">
        <v>108</v>
      </c>
      <c r="C2651">
        <v>9406582649</v>
      </c>
      <c r="D2651" s="2">
        <v>1</v>
      </c>
      <c r="E2651" t="str">
        <f>"4574674200776987"</f>
        <v>4574674200776987</v>
      </c>
      <c r="F2651" t="str">
        <f>"660"</f>
        <v>660</v>
      </c>
      <c r="G2651">
        <v>1</v>
      </c>
      <c r="H2651">
        <v>2023</v>
      </c>
      <c r="I2651" t="s">
        <v>2766</v>
      </c>
    </row>
    <row r="2652" spans="1:9" x14ac:dyDescent="0.3">
      <c r="A2652" t="s">
        <v>10131</v>
      </c>
      <c r="B2652" t="s">
        <v>108</v>
      </c>
      <c r="C2652">
        <v>9406582649</v>
      </c>
      <c r="D2652" s="2">
        <v>1</v>
      </c>
      <c r="E2652" t="str">
        <f>"4574674200777225"</f>
        <v>4574674200777225</v>
      </c>
      <c r="F2652" t="str">
        <f>"461"</f>
        <v>461</v>
      </c>
      <c r="G2652">
        <v>1</v>
      </c>
      <c r="H2652">
        <v>2023</v>
      </c>
      <c r="I2652" t="s">
        <v>2767</v>
      </c>
    </row>
    <row r="2653" spans="1:9" x14ac:dyDescent="0.3">
      <c r="A2653" t="s">
        <v>10131</v>
      </c>
      <c r="B2653" t="s">
        <v>108</v>
      </c>
      <c r="C2653">
        <v>9406582649</v>
      </c>
      <c r="D2653" s="2">
        <v>1</v>
      </c>
      <c r="E2653" t="str">
        <f>"4574674200777118"</f>
        <v>4574674200777118</v>
      </c>
      <c r="F2653" t="str">
        <f>"672"</f>
        <v>672</v>
      </c>
      <c r="G2653">
        <v>1</v>
      </c>
      <c r="H2653">
        <v>2023</v>
      </c>
      <c r="I2653" t="s">
        <v>2768</v>
      </c>
    </row>
    <row r="2654" spans="1:9" x14ac:dyDescent="0.3">
      <c r="A2654" t="s">
        <v>10131</v>
      </c>
      <c r="B2654" t="s">
        <v>108</v>
      </c>
      <c r="C2654">
        <v>9406582649</v>
      </c>
      <c r="D2654" s="2">
        <v>1</v>
      </c>
      <c r="E2654" t="str">
        <f>"4574674200777126"</f>
        <v>4574674200777126</v>
      </c>
      <c r="F2654" t="str">
        <f>"203"</f>
        <v>203</v>
      </c>
      <c r="G2654">
        <v>1</v>
      </c>
      <c r="H2654">
        <v>2023</v>
      </c>
      <c r="I2654" t="s">
        <v>2769</v>
      </c>
    </row>
    <row r="2655" spans="1:9" x14ac:dyDescent="0.3">
      <c r="A2655" t="s">
        <v>10131</v>
      </c>
      <c r="B2655" t="s">
        <v>108</v>
      </c>
      <c r="C2655">
        <v>9406582649</v>
      </c>
      <c r="D2655" s="2">
        <v>1</v>
      </c>
      <c r="E2655" t="str">
        <f>"4574674200777175"</f>
        <v>4574674200777175</v>
      </c>
      <c r="F2655" t="str">
        <f>"538"</f>
        <v>538</v>
      </c>
      <c r="G2655">
        <v>1</v>
      </c>
      <c r="H2655">
        <v>2023</v>
      </c>
      <c r="I2655" t="s">
        <v>2770</v>
      </c>
    </row>
    <row r="2656" spans="1:9" x14ac:dyDescent="0.3">
      <c r="A2656" t="s">
        <v>10131</v>
      </c>
      <c r="B2656" t="s">
        <v>108</v>
      </c>
      <c r="C2656">
        <v>9406582649</v>
      </c>
      <c r="D2656" s="2">
        <v>1</v>
      </c>
      <c r="E2656" t="str">
        <f>"4574674200777159"</f>
        <v>4574674200777159</v>
      </c>
      <c r="F2656" t="str">
        <f>"195"</f>
        <v>195</v>
      </c>
      <c r="G2656">
        <v>1</v>
      </c>
      <c r="H2656">
        <v>2023</v>
      </c>
      <c r="I2656" t="s">
        <v>2771</v>
      </c>
    </row>
    <row r="2657" spans="1:9" x14ac:dyDescent="0.3">
      <c r="A2657" t="s">
        <v>10131</v>
      </c>
      <c r="B2657" t="s">
        <v>108</v>
      </c>
      <c r="C2657">
        <v>9406582649</v>
      </c>
      <c r="D2657" s="2">
        <v>1</v>
      </c>
      <c r="E2657" t="str">
        <f>"4574674200777183"</f>
        <v>4574674200777183</v>
      </c>
      <c r="F2657" t="str">
        <f>"886"</f>
        <v>886</v>
      </c>
      <c r="G2657">
        <v>1</v>
      </c>
      <c r="H2657">
        <v>2023</v>
      </c>
      <c r="I2657" t="s">
        <v>2772</v>
      </c>
    </row>
    <row r="2658" spans="1:9" x14ac:dyDescent="0.3">
      <c r="A2658" t="s">
        <v>10131</v>
      </c>
      <c r="B2658" t="s">
        <v>108</v>
      </c>
      <c r="C2658">
        <v>9406582649</v>
      </c>
      <c r="D2658" s="2">
        <v>1</v>
      </c>
      <c r="E2658" t="str">
        <f>"4574674200777639"</f>
        <v>4574674200777639</v>
      </c>
      <c r="F2658" t="str">
        <f>"497"</f>
        <v>497</v>
      </c>
      <c r="G2658">
        <v>1</v>
      </c>
      <c r="H2658">
        <v>2023</v>
      </c>
      <c r="I2658" t="s">
        <v>2773</v>
      </c>
    </row>
    <row r="2659" spans="1:9" x14ac:dyDescent="0.3">
      <c r="A2659" t="s">
        <v>10131</v>
      </c>
      <c r="B2659" t="s">
        <v>108</v>
      </c>
      <c r="C2659">
        <v>9406582649</v>
      </c>
      <c r="D2659" s="2">
        <v>1</v>
      </c>
      <c r="E2659" t="str">
        <f>"4574674200777647"</f>
        <v>4574674200777647</v>
      </c>
      <c r="F2659" t="str">
        <f>"928"</f>
        <v>928</v>
      </c>
      <c r="G2659">
        <v>1</v>
      </c>
      <c r="H2659">
        <v>2023</v>
      </c>
      <c r="I2659" t="s">
        <v>2774</v>
      </c>
    </row>
    <row r="2660" spans="1:9" x14ac:dyDescent="0.3">
      <c r="A2660" t="s">
        <v>10131</v>
      </c>
      <c r="B2660" t="s">
        <v>108</v>
      </c>
      <c r="C2660">
        <v>9406582649</v>
      </c>
      <c r="D2660" s="2">
        <v>1</v>
      </c>
      <c r="E2660" t="str">
        <f>"4574674200777498"</f>
        <v>4574674200777498</v>
      </c>
      <c r="F2660" t="str">
        <f>"189"</f>
        <v>189</v>
      </c>
      <c r="G2660">
        <v>1</v>
      </c>
      <c r="H2660">
        <v>2023</v>
      </c>
      <c r="I2660" t="s">
        <v>2775</v>
      </c>
    </row>
    <row r="2661" spans="1:9" x14ac:dyDescent="0.3">
      <c r="A2661" t="s">
        <v>10132</v>
      </c>
      <c r="B2661" t="s">
        <v>109</v>
      </c>
      <c r="C2661">
        <v>9406582649</v>
      </c>
      <c r="D2661" s="2">
        <v>1</v>
      </c>
      <c r="E2661" t="str">
        <f>"4574674200777688"</f>
        <v>4574674200777688</v>
      </c>
      <c r="F2661" t="str">
        <f>"551"</f>
        <v>551</v>
      </c>
      <c r="G2661">
        <v>1</v>
      </c>
      <c r="H2661">
        <v>2023</v>
      </c>
      <c r="I2661" t="s">
        <v>2776</v>
      </c>
    </row>
    <row r="2662" spans="1:9" x14ac:dyDescent="0.3">
      <c r="A2662" t="s">
        <v>10132</v>
      </c>
      <c r="B2662" t="s">
        <v>109</v>
      </c>
      <c r="C2662">
        <v>9406582649</v>
      </c>
      <c r="D2662" s="2">
        <v>1</v>
      </c>
      <c r="E2662" t="str">
        <f>"4574674200777696"</f>
        <v>4574674200777696</v>
      </c>
      <c r="F2662" t="str">
        <f>"230"</f>
        <v>230</v>
      </c>
      <c r="G2662">
        <v>1</v>
      </c>
      <c r="H2662">
        <v>2023</v>
      </c>
      <c r="I2662" t="s">
        <v>2777</v>
      </c>
    </row>
    <row r="2663" spans="1:9" x14ac:dyDescent="0.3">
      <c r="A2663" t="s">
        <v>10132</v>
      </c>
      <c r="B2663" t="s">
        <v>109</v>
      </c>
      <c r="C2663">
        <v>9406582649</v>
      </c>
      <c r="D2663" s="2">
        <v>1</v>
      </c>
      <c r="E2663" t="str">
        <f>"4574674200777712"</f>
        <v>4574674200777712</v>
      </c>
      <c r="F2663" t="str">
        <f>"428"</f>
        <v>428</v>
      </c>
      <c r="G2663">
        <v>1</v>
      </c>
      <c r="H2663">
        <v>2023</v>
      </c>
      <c r="I2663" t="s">
        <v>2778</v>
      </c>
    </row>
    <row r="2664" spans="1:9" x14ac:dyDescent="0.3">
      <c r="A2664" t="s">
        <v>10132</v>
      </c>
      <c r="B2664" t="s">
        <v>109</v>
      </c>
      <c r="C2664">
        <v>9406582649</v>
      </c>
      <c r="D2664" s="2">
        <v>1</v>
      </c>
      <c r="E2664" t="str">
        <f>"4574674200777894"</f>
        <v>4574674200777894</v>
      </c>
      <c r="F2664" t="str">
        <f>"773"</f>
        <v>773</v>
      </c>
      <c r="G2664">
        <v>1</v>
      </c>
      <c r="H2664">
        <v>2023</v>
      </c>
      <c r="I2664" t="s">
        <v>2779</v>
      </c>
    </row>
    <row r="2665" spans="1:9" x14ac:dyDescent="0.3">
      <c r="A2665" t="s">
        <v>10132</v>
      </c>
      <c r="B2665" t="s">
        <v>109</v>
      </c>
      <c r="C2665">
        <v>9406582649</v>
      </c>
      <c r="D2665" s="2">
        <v>1</v>
      </c>
      <c r="E2665" t="str">
        <f>"4574674200777878"</f>
        <v>4574674200777878</v>
      </c>
      <c r="F2665" t="str">
        <f>"673"</f>
        <v>673</v>
      </c>
      <c r="G2665">
        <v>1</v>
      </c>
      <c r="H2665">
        <v>2023</v>
      </c>
      <c r="I2665" t="s">
        <v>2780</v>
      </c>
    </row>
    <row r="2666" spans="1:9" x14ac:dyDescent="0.3">
      <c r="A2666" t="s">
        <v>10132</v>
      </c>
      <c r="B2666" t="s">
        <v>109</v>
      </c>
      <c r="C2666">
        <v>9406582649</v>
      </c>
      <c r="D2666" s="2">
        <v>1</v>
      </c>
      <c r="E2666" t="str">
        <f>"4574674200777738"</f>
        <v>4574674200777738</v>
      </c>
      <c r="F2666" t="str">
        <f>"881"</f>
        <v>881</v>
      </c>
      <c r="G2666">
        <v>1</v>
      </c>
      <c r="H2666">
        <v>2023</v>
      </c>
      <c r="I2666" t="s">
        <v>2781</v>
      </c>
    </row>
    <row r="2667" spans="1:9" x14ac:dyDescent="0.3">
      <c r="A2667" t="s">
        <v>10132</v>
      </c>
      <c r="B2667" t="s">
        <v>109</v>
      </c>
      <c r="C2667">
        <v>9406582649</v>
      </c>
      <c r="D2667" s="2">
        <v>1</v>
      </c>
      <c r="E2667" t="str">
        <f>"4574674200777720"</f>
        <v>4574674200777720</v>
      </c>
      <c r="F2667" t="str">
        <f>"140"</f>
        <v>140</v>
      </c>
      <c r="G2667">
        <v>1</v>
      </c>
      <c r="H2667">
        <v>2023</v>
      </c>
      <c r="I2667" t="s">
        <v>2782</v>
      </c>
    </row>
    <row r="2668" spans="1:9" x14ac:dyDescent="0.3">
      <c r="A2668" t="s">
        <v>10132</v>
      </c>
      <c r="B2668" t="s">
        <v>109</v>
      </c>
      <c r="C2668">
        <v>9406582649</v>
      </c>
      <c r="D2668" s="2">
        <v>1</v>
      </c>
      <c r="E2668" t="str">
        <f>"4574674200778033"</f>
        <v>4574674200778033</v>
      </c>
      <c r="F2668" t="str">
        <f>"175"</f>
        <v>175</v>
      </c>
      <c r="G2668">
        <v>1</v>
      </c>
      <c r="H2668">
        <v>2023</v>
      </c>
      <c r="I2668" t="s">
        <v>2783</v>
      </c>
    </row>
    <row r="2669" spans="1:9" x14ac:dyDescent="0.3">
      <c r="A2669" t="s">
        <v>10132</v>
      </c>
      <c r="B2669" t="s">
        <v>109</v>
      </c>
      <c r="C2669">
        <v>9406582649</v>
      </c>
      <c r="D2669" s="2">
        <v>1</v>
      </c>
      <c r="E2669" t="str">
        <f>"4574674200778066"</f>
        <v>4574674200778066</v>
      </c>
      <c r="F2669" t="str">
        <f>"842"</f>
        <v>842</v>
      </c>
      <c r="G2669">
        <v>1</v>
      </c>
      <c r="H2669">
        <v>2023</v>
      </c>
      <c r="I2669" t="s">
        <v>2784</v>
      </c>
    </row>
    <row r="2670" spans="1:9" x14ac:dyDescent="0.3">
      <c r="A2670" t="s">
        <v>10132</v>
      </c>
      <c r="B2670" t="s">
        <v>109</v>
      </c>
      <c r="C2670">
        <v>9406582649</v>
      </c>
      <c r="D2670" s="2">
        <v>1</v>
      </c>
      <c r="E2670" t="str">
        <f>"4574674200778207"</f>
        <v>4574674200778207</v>
      </c>
      <c r="F2670" t="str">
        <f>"978"</f>
        <v>978</v>
      </c>
      <c r="G2670">
        <v>1</v>
      </c>
      <c r="H2670">
        <v>2023</v>
      </c>
      <c r="I2670" t="s">
        <v>2785</v>
      </c>
    </row>
    <row r="2671" spans="1:9" x14ac:dyDescent="0.3">
      <c r="A2671" t="s">
        <v>10133</v>
      </c>
      <c r="B2671" t="s">
        <v>110</v>
      </c>
      <c r="C2671">
        <v>9406980470</v>
      </c>
      <c r="D2671" s="2">
        <v>1</v>
      </c>
      <c r="E2671" t="str">
        <f>"4574674200778215"</f>
        <v>4574674200778215</v>
      </c>
      <c r="F2671" t="str">
        <f>"948"</f>
        <v>948</v>
      </c>
      <c r="G2671">
        <v>1</v>
      </c>
      <c r="H2671">
        <v>2023</v>
      </c>
      <c r="I2671" t="s">
        <v>2786</v>
      </c>
    </row>
    <row r="2672" spans="1:9" x14ac:dyDescent="0.3">
      <c r="A2672" t="s">
        <v>10133</v>
      </c>
      <c r="B2672" t="s">
        <v>110</v>
      </c>
      <c r="C2672">
        <v>9406980470</v>
      </c>
      <c r="D2672" s="2">
        <v>1</v>
      </c>
      <c r="E2672" t="str">
        <f>"4574674200778223"</f>
        <v>4574674200778223</v>
      </c>
      <c r="F2672" t="str">
        <f>"905"</f>
        <v>905</v>
      </c>
      <c r="G2672">
        <v>1</v>
      </c>
      <c r="H2672">
        <v>2023</v>
      </c>
      <c r="I2672" t="s">
        <v>2787</v>
      </c>
    </row>
    <row r="2673" spans="1:9" x14ac:dyDescent="0.3">
      <c r="A2673" t="s">
        <v>10133</v>
      </c>
      <c r="B2673" t="s">
        <v>110</v>
      </c>
      <c r="C2673">
        <v>9406980470</v>
      </c>
      <c r="D2673" s="2">
        <v>1</v>
      </c>
      <c r="E2673" t="str">
        <f>"4574674200778249"</f>
        <v>4574674200778249</v>
      </c>
      <c r="F2673" t="str">
        <f>"999"</f>
        <v>999</v>
      </c>
      <c r="G2673">
        <v>1</v>
      </c>
      <c r="H2673">
        <v>2023</v>
      </c>
      <c r="I2673" t="s">
        <v>2788</v>
      </c>
    </row>
    <row r="2674" spans="1:9" x14ac:dyDescent="0.3">
      <c r="A2674" t="s">
        <v>10133</v>
      </c>
      <c r="B2674" t="s">
        <v>110</v>
      </c>
      <c r="C2674">
        <v>9406980470</v>
      </c>
      <c r="D2674" s="2">
        <v>1</v>
      </c>
      <c r="E2674" t="str">
        <f>"4574674200778264"</f>
        <v>4574674200778264</v>
      </c>
      <c r="F2674" t="str">
        <f>"657"</f>
        <v>657</v>
      </c>
      <c r="G2674">
        <v>1</v>
      </c>
      <c r="H2674">
        <v>2023</v>
      </c>
      <c r="I2674" t="s">
        <v>2789</v>
      </c>
    </row>
    <row r="2675" spans="1:9" x14ac:dyDescent="0.3">
      <c r="A2675" t="s">
        <v>10133</v>
      </c>
      <c r="B2675" t="s">
        <v>110</v>
      </c>
      <c r="C2675">
        <v>9406980470</v>
      </c>
      <c r="D2675" s="2">
        <v>1</v>
      </c>
      <c r="E2675" t="str">
        <f>"4574674200778405"</f>
        <v>4574674200778405</v>
      </c>
      <c r="F2675" t="str">
        <f>"856"</f>
        <v>856</v>
      </c>
      <c r="G2675">
        <v>1</v>
      </c>
      <c r="H2675">
        <v>2023</v>
      </c>
      <c r="I2675" t="s">
        <v>2790</v>
      </c>
    </row>
    <row r="2676" spans="1:9" x14ac:dyDescent="0.3">
      <c r="A2676" t="s">
        <v>10133</v>
      </c>
      <c r="B2676" t="s">
        <v>110</v>
      </c>
      <c r="C2676">
        <v>9406980470</v>
      </c>
      <c r="D2676" s="2">
        <v>1</v>
      </c>
      <c r="E2676" t="str">
        <f>"4574674200778413"</f>
        <v>4574674200778413</v>
      </c>
      <c r="F2676" t="str">
        <f>"515"</f>
        <v>515</v>
      </c>
      <c r="G2676">
        <v>1</v>
      </c>
      <c r="H2676">
        <v>2023</v>
      </c>
      <c r="I2676" t="s">
        <v>2791</v>
      </c>
    </row>
    <row r="2677" spans="1:9" x14ac:dyDescent="0.3">
      <c r="A2677" t="s">
        <v>10133</v>
      </c>
      <c r="B2677" t="s">
        <v>110</v>
      </c>
      <c r="C2677">
        <v>9406980470</v>
      </c>
      <c r="D2677" s="2">
        <v>1</v>
      </c>
      <c r="E2677" t="str">
        <f>"4574674200778322"</f>
        <v>4574674200778322</v>
      </c>
      <c r="F2677" t="str">
        <f>"337"</f>
        <v>337</v>
      </c>
      <c r="G2677">
        <v>1</v>
      </c>
      <c r="H2677">
        <v>2023</v>
      </c>
      <c r="I2677" t="s">
        <v>2792</v>
      </c>
    </row>
    <row r="2678" spans="1:9" x14ac:dyDescent="0.3">
      <c r="A2678" t="s">
        <v>10133</v>
      </c>
      <c r="B2678" t="s">
        <v>110</v>
      </c>
      <c r="C2678">
        <v>9406980470</v>
      </c>
      <c r="D2678" s="2">
        <v>1</v>
      </c>
      <c r="E2678" t="str">
        <f>"4574674200778330"</f>
        <v>4574674200778330</v>
      </c>
      <c r="F2678" t="str">
        <f>"715"</f>
        <v>715</v>
      </c>
      <c r="G2678">
        <v>1</v>
      </c>
      <c r="H2678">
        <v>2023</v>
      </c>
      <c r="I2678" t="s">
        <v>2793</v>
      </c>
    </row>
    <row r="2679" spans="1:9" x14ac:dyDescent="0.3">
      <c r="A2679" t="s">
        <v>10133</v>
      </c>
      <c r="B2679" t="s">
        <v>110</v>
      </c>
      <c r="C2679">
        <v>9406980470</v>
      </c>
      <c r="D2679" s="2">
        <v>1</v>
      </c>
      <c r="E2679" t="str">
        <f>"4574674200778348"</f>
        <v>4574674200778348</v>
      </c>
      <c r="F2679" t="str">
        <f>"889"</f>
        <v>889</v>
      </c>
      <c r="G2679">
        <v>1</v>
      </c>
      <c r="H2679">
        <v>2023</v>
      </c>
      <c r="I2679" t="s">
        <v>2794</v>
      </c>
    </row>
    <row r="2680" spans="1:9" x14ac:dyDescent="0.3">
      <c r="A2680" t="s">
        <v>10133</v>
      </c>
      <c r="B2680" t="s">
        <v>110</v>
      </c>
      <c r="C2680">
        <v>9406980470</v>
      </c>
      <c r="D2680" s="2">
        <v>1</v>
      </c>
      <c r="E2680" t="str">
        <f>"4574674200778553"</f>
        <v>4574674200778553</v>
      </c>
      <c r="F2680" t="str">
        <f>"974"</f>
        <v>974</v>
      </c>
      <c r="G2680">
        <v>1</v>
      </c>
      <c r="H2680">
        <v>2023</v>
      </c>
      <c r="I2680" t="s">
        <v>2795</v>
      </c>
    </row>
    <row r="2681" spans="1:9" x14ac:dyDescent="0.3">
      <c r="A2681" t="s">
        <v>10134</v>
      </c>
      <c r="B2681" t="s">
        <v>111</v>
      </c>
      <c r="C2681">
        <v>9406980470</v>
      </c>
      <c r="D2681" s="2">
        <v>1</v>
      </c>
      <c r="E2681" t="str">
        <f>"4574674200778371"</f>
        <v>4574674200778371</v>
      </c>
      <c r="F2681" t="str">
        <f>"548"</f>
        <v>548</v>
      </c>
      <c r="G2681">
        <v>1</v>
      </c>
      <c r="H2681">
        <v>2023</v>
      </c>
      <c r="I2681" t="s">
        <v>2796</v>
      </c>
    </row>
    <row r="2682" spans="1:9" x14ac:dyDescent="0.3">
      <c r="A2682" t="s">
        <v>10134</v>
      </c>
      <c r="B2682" t="s">
        <v>111</v>
      </c>
      <c r="C2682">
        <v>9406980470</v>
      </c>
      <c r="D2682" s="2">
        <v>1</v>
      </c>
      <c r="E2682" t="str">
        <f>"4574674200778603"</f>
        <v>4574674200778603</v>
      </c>
      <c r="F2682" t="str">
        <f>"301"</f>
        <v>301</v>
      </c>
      <c r="G2682">
        <v>1</v>
      </c>
      <c r="H2682">
        <v>2023</v>
      </c>
      <c r="I2682" t="s">
        <v>2797</v>
      </c>
    </row>
    <row r="2683" spans="1:9" x14ac:dyDescent="0.3">
      <c r="A2683" t="s">
        <v>10134</v>
      </c>
      <c r="B2683" t="s">
        <v>111</v>
      </c>
      <c r="C2683">
        <v>9406980470</v>
      </c>
      <c r="D2683" s="2">
        <v>1</v>
      </c>
      <c r="E2683" t="str">
        <f>"4574674200778389"</f>
        <v>4574674200778389</v>
      </c>
      <c r="F2683" t="str">
        <f>"300"</f>
        <v>300</v>
      </c>
      <c r="G2683">
        <v>1</v>
      </c>
      <c r="H2683">
        <v>2023</v>
      </c>
      <c r="I2683" t="s">
        <v>2798</v>
      </c>
    </row>
    <row r="2684" spans="1:9" x14ac:dyDescent="0.3">
      <c r="A2684" t="s">
        <v>10134</v>
      </c>
      <c r="B2684" t="s">
        <v>111</v>
      </c>
      <c r="C2684">
        <v>9406980470</v>
      </c>
      <c r="D2684" s="2">
        <v>1</v>
      </c>
      <c r="E2684" t="str">
        <f>"4574674200778744"</f>
        <v>4574674200778744</v>
      </c>
      <c r="F2684" t="str">
        <f>"324"</f>
        <v>324</v>
      </c>
      <c r="G2684">
        <v>1</v>
      </c>
      <c r="H2684">
        <v>2023</v>
      </c>
      <c r="I2684" t="s">
        <v>2799</v>
      </c>
    </row>
    <row r="2685" spans="1:9" x14ac:dyDescent="0.3">
      <c r="A2685" t="s">
        <v>10134</v>
      </c>
      <c r="B2685" t="s">
        <v>111</v>
      </c>
      <c r="C2685">
        <v>9406980470</v>
      </c>
      <c r="D2685" s="2">
        <v>1</v>
      </c>
      <c r="E2685" t="str">
        <f>"4574674200778751"</f>
        <v>4574674200778751</v>
      </c>
      <c r="F2685" t="str">
        <f>"021"</f>
        <v>021</v>
      </c>
      <c r="G2685">
        <v>1</v>
      </c>
      <c r="H2685">
        <v>2023</v>
      </c>
      <c r="I2685" t="s">
        <v>2800</v>
      </c>
    </row>
    <row r="2686" spans="1:9" x14ac:dyDescent="0.3">
      <c r="A2686" t="s">
        <v>10134</v>
      </c>
      <c r="B2686" t="s">
        <v>111</v>
      </c>
      <c r="C2686">
        <v>9406980470</v>
      </c>
      <c r="D2686" s="2">
        <v>1</v>
      </c>
      <c r="E2686" t="str">
        <f>"4574674200778876"</f>
        <v>4574674200778876</v>
      </c>
      <c r="F2686" t="str">
        <f>"316"</f>
        <v>316</v>
      </c>
      <c r="G2686">
        <v>1</v>
      </c>
      <c r="H2686">
        <v>2023</v>
      </c>
      <c r="I2686" t="s">
        <v>2801</v>
      </c>
    </row>
    <row r="2687" spans="1:9" x14ac:dyDescent="0.3">
      <c r="A2687" t="s">
        <v>10134</v>
      </c>
      <c r="B2687" t="s">
        <v>111</v>
      </c>
      <c r="C2687">
        <v>9406980470</v>
      </c>
      <c r="D2687" s="2">
        <v>1</v>
      </c>
      <c r="E2687" t="str">
        <f>"4574674200778892"</f>
        <v>4574674200778892</v>
      </c>
      <c r="F2687" t="str">
        <f>"455"</f>
        <v>455</v>
      </c>
      <c r="G2687">
        <v>1</v>
      </c>
      <c r="H2687">
        <v>2023</v>
      </c>
      <c r="I2687" t="s">
        <v>2802</v>
      </c>
    </row>
    <row r="2688" spans="1:9" x14ac:dyDescent="0.3">
      <c r="A2688" t="s">
        <v>10134</v>
      </c>
      <c r="B2688" t="s">
        <v>111</v>
      </c>
      <c r="C2688">
        <v>9406980470</v>
      </c>
      <c r="D2688" s="2">
        <v>1</v>
      </c>
      <c r="E2688" t="str">
        <f>"4574674200778900"</f>
        <v>4574674200778900</v>
      </c>
      <c r="F2688" t="str">
        <f>"394"</f>
        <v>394</v>
      </c>
      <c r="G2688">
        <v>1</v>
      </c>
      <c r="H2688">
        <v>2023</v>
      </c>
      <c r="I2688" t="s">
        <v>2803</v>
      </c>
    </row>
    <row r="2689" spans="1:9" x14ac:dyDescent="0.3">
      <c r="A2689" t="s">
        <v>10134</v>
      </c>
      <c r="B2689" t="s">
        <v>111</v>
      </c>
      <c r="C2689">
        <v>9406980470</v>
      </c>
      <c r="D2689" s="2">
        <v>1</v>
      </c>
      <c r="E2689" t="str">
        <f>"4574674200779056"</f>
        <v>4574674200779056</v>
      </c>
      <c r="F2689" t="str">
        <f>"601"</f>
        <v>601</v>
      </c>
      <c r="G2689">
        <v>1</v>
      </c>
      <c r="H2689">
        <v>2023</v>
      </c>
      <c r="I2689" t="s">
        <v>2804</v>
      </c>
    </row>
    <row r="2690" spans="1:9" x14ac:dyDescent="0.3">
      <c r="A2690" t="s">
        <v>10134</v>
      </c>
      <c r="B2690" t="s">
        <v>111</v>
      </c>
      <c r="C2690">
        <v>9406980470</v>
      </c>
      <c r="D2690" s="2">
        <v>1</v>
      </c>
      <c r="E2690" t="str">
        <f>"4574674200778983"</f>
        <v>4574674200778983</v>
      </c>
      <c r="F2690" t="str">
        <f>"012"</f>
        <v>012</v>
      </c>
      <c r="G2690">
        <v>1</v>
      </c>
      <c r="H2690">
        <v>2023</v>
      </c>
      <c r="I2690" t="s">
        <v>2805</v>
      </c>
    </row>
    <row r="2691" spans="1:9" x14ac:dyDescent="0.3">
      <c r="A2691" t="s">
        <v>10135</v>
      </c>
      <c r="B2691" t="s">
        <v>112</v>
      </c>
      <c r="C2691">
        <v>9406980470</v>
      </c>
      <c r="D2691" s="2">
        <v>1</v>
      </c>
      <c r="E2691" t="str">
        <f>"4574674200778975"</f>
        <v>4574674200778975</v>
      </c>
      <c r="F2691" t="str">
        <f>"928"</f>
        <v>928</v>
      </c>
      <c r="G2691">
        <v>1</v>
      </c>
      <c r="H2691">
        <v>2023</v>
      </c>
      <c r="I2691" t="s">
        <v>2806</v>
      </c>
    </row>
    <row r="2692" spans="1:9" x14ac:dyDescent="0.3">
      <c r="A2692" t="s">
        <v>10135</v>
      </c>
      <c r="B2692" t="s">
        <v>112</v>
      </c>
      <c r="C2692">
        <v>9406980470</v>
      </c>
      <c r="D2692" s="2">
        <v>1</v>
      </c>
      <c r="E2692" t="str">
        <f>"4574674200779205"</f>
        <v>4574674200779205</v>
      </c>
      <c r="F2692" t="str">
        <f>"561"</f>
        <v>561</v>
      </c>
      <c r="G2692">
        <v>1</v>
      </c>
      <c r="H2692">
        <v>2023</v>
      </c>
      <c r="I2692" t="s">
        <v>2807</v>
      </c>
    </row>
    <row r="2693" spans="1:9" x14ac:dyDescent="0.3">
      <c r="A2693" t="s">
        <v>10135</v>
      </c>
      <c r="B2693" t="s">
        <v>112</v>
      </c>
      <c r="C2693">
        <v>9406980470</v>
      </c>
      <c r="D2693" s="2">
        <v>1</v>
      </c>
      <c r="E2693" t="str">
        <f>"4574674200779239"</f>
        <v>4574674200779239</v>
      </c>
      <c r="F2693" t="str">
        <f>"040"</f>
        <v>040</v>
      </c>
      <c r="G2693">
        <v>1</v>
      </c>
      <c r="H2693">
        <v>2023</v>
      </c>
      <c r="I2693" t="s">
        <v>2808</v>
      </c>
    </row>
    <row r="2694" spans="1:9" x14ac:dyDescent="0.3">
      <c r="A2694" t="s">
        <v>10135</v>
      </c>
      <c r="B2694" t="s">
        <v>112</v>
      </c>
      <c r="C2694">
        <v>9406980470</v>
      </c>
      <c r="D2694" s="2">
        <v>1</v>
      </c>
      <c r="E2694" t="str">
        <f>"4574674200778991"</f>
        <v>4574674200778991</v>
      </c>
      <c r="F2694" t="str">
        <f>"270"</f>
        <v>270</v>
      </c>
      <c r="G2694">
        <v>1</v>
      </c>
      <c r="H2694">
        <v>2023</v>
      </c>
      <c r="I2694" t="s">
        <v>2809</v>
      </c>
    </row>
    <row r="2695" spans="1:9" x14ac:dyDescent="0.3">
      <c r="A2695" t="s">
        <v>10135</v>
      </c>
      <c r="B2695" t="s">
        <v>112</v>
      </c>
      <c r="C2695">
        <v>9406980470</v>
      </c>
      <c r="D2695" s="2">
        <v>1</v>
      </c>
      <c r="E2695" t="str">
        <f>"4574674200779429"</f>
        <v>4574674200779429</v>
      </c>
      <c r="F2695" t="str">
        <f>"523"</f>
        <v>523</v>
      </c>
      <c r="G2695">
        <v>1</v>
      </c>
      <c r="H2695">
        <v>2023</v>
      </c>
      <c r="I2695" t="s">
        <v>2810</v>
      </c>
    </row>
    <row r="2696" spans="1:9" x14ac:dyDescent="0.3">
      <c r="A2696" t="s">
        <v>10135</v>
      </c>
      <c r="B2696" t="s">
        <v>112</v>
      </c>
      <c r="C2696">
        <v>9406980470</v>
      </c>
      <c r="D2696" s="2">
        <v>1</v>
      </c>
      <c r="E2696" t="str">
        <f>"4574674200779411"</f>
        <v>4574674200779411</v>
      </c>
      <c r="F2696" t="str">
        <f>"846"</f>
        <v>846</v>
      </c>
      <c r="G2696">
        <v>1</v>
      </c>
      <c r="H2696">
        <v>2023</v>
      </c>
      <c r="I2696" t="s">
        <v>2811</v>
      </c>
    </row>
    <row r="2697" spans="1:9" x14ac:dyDescent="0.3">
      <c r="A2697" t="s">
        <v>10135</v>
      </c>
      <c r="B2697" t="s">
        <v>112</v>
      </c>
      <c r="C2697">
        <v>9406980470</v>
      </c>
      <c r="D2697" s="2">
        <v>1</v>
      </c>
      <c r="E2697" t="str">
        <f>"4574674200779619"</f>
        <v>4574674200779619</v>
      </c>
      <c r="F2697" t="str">
        <f>"304"</f>
        <v>304</v>
      </c>
      <c r="G2697">
        <v>1</v>
      </c>
      <c r="H2697">
        <v>2023</v>
      </c>
      <c r="I2697" t="s">
        <v>2812</v>
      </c>
    </row>
    <row r="2698" spans="1:9" x14ac:dyDescent="0.3">
      <c r="A2698" t="s">
        <v>10135</v>
      </c>
      <c r="B2698" t="s">
        <v>112</v>
      </c>
      <c r="C2698">
        <v>9406980470</v>
      </c>
      <c r="D2698" s="2">
        <v>1</v>
      </c>
      <c r="E2698" t="str">
        <f>"4574674200779650"</f>
        <v>4574674200779650</v>
      </c>
      <c r="F2698" t="str">
        <f>"253"</f>
        <v>253</v>
      </c>
      <c r="G2698">
        <v>1</v>
      </c>
      <c r="H2698">
        <v>2023</v>
      </c>
      <c r="I2698" t="s">
        <v>2813</v>
      </c>
    </row>
    <row r="2699" spans="1:9" x14ac:dyDescent="0.3">
      <c r="A2699" t="s">
        <v>10135</v>
      </c>
      <c r="B2699" t="s">
        <v>112</v>
      </c>
      <c r="C2699">
        <v>9406980470</v>
      </c>
      <c r="D2699" s="2">
        <v>1</v>
      </c>
      <c r="E2699" t="str">
        <f>"4574674200779486"</f>
        <v>4574674200779486</v>
      </c>
      <c r="F2699" t="str">
        <f>"189"</f>
        <v>189</v>
      </c>
      <c r="G2699">
        <v>1</v>
      </c>
      <c r="H2699">
        <v>2023</v>
      </c>
      <c r="I2699" t="s">
        <v>2814</v>
      </c>
    </row>
    <row r="2700" spans="1:9" x14ac:dyDescent="0.3">
      <c r="A2700" t="s">
        <v>10135</v>
      </c>
      <c r="B2700" t="s">
        <v>112</v>
      </c>
      <c r="C2700">
        <v>9406980470</v>
      </c>
      <c r="D2700" s="2">
        <v>1</v>
      </c>
      <c r="E2700" t="str">
        <f>"4574674200779502"</f>
        <v>4574674200779502</v>
      </c>
      <c r="F2700" t="str">
        <f>"780"</f>
        <v>780</v>
      </c>
      <c r="G2700">
        <v>1</v>
      </c>
      <c r="H2700">
        <v>2023</v>
      </c>
      <c r="I2700" t="s">
        <v>2815</v>
      </c>
    </row>
    <row r="2701" spans="1:9" x14ac:dyDescent="0.3">
      <c r="A2701" t="s">
        <v>10136</v>
      </c>
      <c r="B2701" t="s">
        <v>113</v>
      </c>
      <c r="C2701">
        <v>9406980470</v>
      </c>
      <c r="D2701" s="2">
        <v>1</v>
      </c>
      <c r="E2701" t="str">
        <f>"4574674200779510"</f>
        <v>4574674200779510</v>
      </c>
      <c r="F2701" t="str">
        <f>"062"</f>
        <v>062</v>
      </c>
      <c r="G2701">
        <v>1</v>
      </c>
      <c r="H2701">
        <v>2023</v>
      </c>
      <c r="I2701" t="s">
        <v>2816</v>
      </c>
    </row>
    <row r="2702" spans="1:9" x14ac:dyDescent="0.3">
      <c r="A2702" t="s">
        <v>10136</v>
      </c>
      <c r="B2702" t="s">
        <v>113</v>
      </c>
      <c r="C2702">
        <v>9406980470</v>
      </c>
      <c r="D2702" s="2">
        <v>1</v>
      </c>
      <c r="E2702" t="str">
        <f>"4574674200779544"</f>
        <v>4574674200779544</v>
      </c>
      <c r="F2702" t="str">
        <f>"470"</f>
        <v>470</v>
      </c>
      <c r="G2702">
        <v>1</v>
      </c>
      <c r="H2702">
        <v>2023</v>
      </c>
      <c r="I2702" t="s">
        <v>2817</v>
      </c>
    </row>
    <row r="2703" spans="1:9" x14ac:dyDescent="0.3">
      <c r="A2703" t="s">
        <v>10136</v>
      </c>
      <c r="B2703" t="s">
        <v>113</v>
      </c>
      <c r="C2703">
        <v>9406980470</v>
      </c>
      <c r="D2703" s="2">
        <v>1</v>
      </c>
      <c r="E2703" t="str">
        <f>"4574674200779528"</f>
        <v>4574674200779528</v>
      </c>
      <c r="F2703" t="str">
        <f>"692"</f>
        <v>692</v>
      </c>
      <c r="G2703">
        <v>1</v>
      </c>
      <c r="H2703">
        <v>2023</v>
      </c>
      <c r="I2703" t="s">
        <v>2818</v>
      </c>
    </row>
    <row r="2704" spans="1:9" x14ac:dyDescent="0.3">
      <c r="A2704" t="s">
        <v>10136</v>
      </c>
      <c r="B2704" t="s">
        <v>113</v>
      </c>
      <c r="C2704">
        <v>9406980470</v>
      </c>
      <c r="D2704" s="2">
        <v>1</v>
      </c>
      <c r="E2704" t="str">
        <f>"4574674200779809"</f>
        <v>4574674200779809</v>
      </c>
      <c r="F2704" t="str">
        <f>"551"</f>
        <v>551</v>
      </c>
      <c r="G2704">
        <v>1</v>
      </c>
      <c r="H2704">
        <v>2023</v>
      </c>
      <c r="I2704" t="s">
        <v>2819</v>
      </c>
    </row>
    <row r="2705" spans="1:9" x14ac:dyDescent="0.3">
      <c r="A2705" t="s">
        <v>10136</v>
      </c>
      <c r="B2705" t="s">
        <v>113</v>
      </c>
      <c r="C2705">
        <v>9406980470</v>
      </c>
      <c r="D2705" s="2">
        <v>1</v>
      </c>
      <c r="E2705" t="str">
        <f>"4574674200779791"</f>
        <v>4574674200779791</v>
      </c>
      <c r="F2705" t="str">
        <f>"458"</f>
        <v>458</v>
      </c>
      <c r="G2705">
        <v>1</v>
      </c>
      <c r="H2705">
        <v>2023</v>
      </c>
      <c r="I2705" t="s">
        <v>2820</v>
      </c>
    </row>
    <row r="2706" spans="1:9" x14ac:dyDescent="0.3">
      <c r="A2706" t="s">
        <v>10136</v>
      </c>
      <c r="B2706" t="s">
        <v>113</v>
      </c>
      <c r="C2706">
        <v>9406980470</v>
      </c>
      <c r="D2706" s="2">
        <v>1</v>
      </c>
      <c r="E2706" t="str">
        <f>"4574674200780021"</f>
        <v>4574674200780021</v>
      </c>
      <c r="F2706" t="str">
        <f>"261"</f>
        <v>261</v>
      </c>
      <c r="G2706">
        <v>1</v>
      </c>
      <c r="H2706">
        <v>2023</v>
      </c>
      <c r="I2706" t="s">
        <v>2821</v>
      </c>
    </row>
    <row r="2707" spans="1:9" x14ac:dyDescent="0.3">
      <c r="A2707" t="s">
        <v>10136</v>
      </c>
      <c r="B2707" t="s">
        <v>113</v>
      </c>
      <c r="C2707">
        <v>9406980470</v>
      </c>
      <c r="D2707" s="2">
        <v>1</v>
      </c>
      <c r="E2707" t="str">
        <f>"4574674200780039"</f>
        <v>4574674200780039</v>
      </c>
      <c r="F2707" t="str">
        <f>"549"</f>
        <v>549</v>
      </c>
      <c r="G2707">
        <v>1</v>
      </c>
      <c r="H2707">
        <v>2023</v>
      </c>
      <c r="I2707" t="s">
        <v>2822</v>
      </c>
    </row>
    <row r="2708" spans="1:9" x14ac:dyDescent="0.3">
      <c r="A2708" t="s">
        <v>10136</v>
      </c>
      <c r="B2708" t="s">
        <v>113</v>
      </c>
      <c r="C2708">
        <v>9406980470</v>
      </c>
      <c r="D2708" s="2">
        <v>1</v>
      </c>
      <c r="E2708" t="str">
        <f>"4574674200780054"</f>
        <v>4574674200780054</v>
      </c>
      <c r="F2708" t="str">
        <f>"432"</f>
        <v>432</v>
      </c>
      <c r="G2708">
        <v>1</v>
      </c>
      <c r="H2708">
        <v>2023</v>
      </c>
      <c r="I2708" t="s">
        <v>2823</v>
      </c>
    </row>
    <row r="2709" spans="1:9" x14ac:dyDescent="0.3">
      <c r="A2709" t="s">
        <v>10136</v>
      </c>
      <c r="B2709" t="s">
        <v>113</v>
      </c>
      <c r="C2709">
        <v>9406980470</v>
      </c>
      <c r="D2709" s="2">
        <v>1</v>
      </c>
      <c r="E2709" t="str">
        <f>"4574674200780047"</f>
        <v>4574674200780047</v>
      </c>
      <c r="F2709" t="str">
        <f>"704"</f>
        <v>704</v>
      </c>
      <c r="G2709">
        <v>1</v>
      </c>
      <c r="H2709">
        <v>2023</v>
      </c>
      <c r="I2709" t="s">
        <v>2824</v>
      </c>
    </row>
    <row r="2710" spans="1:9" x14ac:dyDescent="0.3">
      <c r="A2710" t="s">
        <v>10136</v>
      </c>
      <c r="B2710" t="s">
        <v>113</v>
      </c>
      <c r="C2710">
        <v>9406980470</v>
      </c>
      <c r="D2710" s="2">
        <v>1</v>
      </c>
      <c r="E2710" t="str">
        <f>"4574674200780062"</f>
        <v>4574674200780062</v>
      </c>
      <c r="F2710" t="str">
        <f>"132"</f>
        <v>132</v>
      </c>
      <c r="G2710">
        <v>1</v>
      </c>
      <c r="H2710">
        <v>2023</v>
      </c>
      <c r="I2710" t="s">
        <v>2825</v>
      </c>
    </row>
    <row r="2711" spans="1:9" x14ac:dyDescent="0.3">
      <c r="A2711" t="s">
        <v>10137</v>
      </c>
      <c r="B2711" t="s">
        <v>114</v>
      </c>
      <c r="C2711">
        <v>9406980470</v>
      </c>
      <c r="D2711" s="2">
        <v>1</v>
      </c>
      <c r="E2711" t="str">
        <f>"4574674200779908"</f>
        <v>4574674200779908</v>
      </c>
      <c r="F2711" t="str">
        <f>"561"</f>
        <v>561</v>
      </c>
      <c r="G2711">
        <v>1</v>
      </c>
      <c r="H2711">
        <v>2023</v>
      </c>
      <c r="I2711" t="s">
        <v>2826</v>
      </c>
    </row>
    <row r="2712" spans="1:9" x14ac:dyDescent="0.3">
      <c r="A2712" t="s">
        <v>10137</v>
      </c>
      <c r="B2712" t="s">
        <v>114</v>
      </c>
      <c r="C2712">
        <v>9406980470</v>
      </c>
      <c r="D2712" s="2">
        <v>1</v>
      </c>
      <c r="E2712" t="str">
        <f>"4574674200780138"</f>
        <v>4574674200780138</v>
      </c>
      <c r="F2712" t="str">
        <f>"126"</f>
        <v>126</v>
      </c>
      <c r="G2712">
        <v>1</v>
      </c>
      <c r="H2712">
        <v>2023</v>
      </c>
      <c r="I2712" t="s">
        <v>2827</v>
      </c>
    </row>
    <row r="2713" spans="1:9" x14ac:dyDescent="0.3">
      <c r="A2713" t="s">
        <v>10137</v>
      </c>
      <c r="B2713" t="s">
        <v>114</v>
      </c>
      <c r="C2713">
        <v>9406980470</v>
      </c>
      <c r="D2713" s="2">
        <v>1</v>
      </c>
      <c r="E2713" t="str">
        <f>"4574674200779924"</f>
        <v>4574674200779924</v>
      </c>
      <c r="F2713" t="str">
        <f>"761"</f>
        <v>761</v>
      </c>
      <c r="G2713">
        <v>1</v>
      </c>
      <c r="H2713">
        <v>2023</v>
      </c>
      <c r="I2713" t="s">
        <v>2828</v>
      </c>
    </row>
    <row r="2714" spans="1:9" x14ac:dyDescent="0.3">
      <c r="A2714" t="s">
        <v>10137</v>
      </c>
      <c r="B2714" t="s">
        <v>114</v>
      </c>
      <c r="C2714">
        <v>9406980470</v>
      </c>
      <c r="D2714" s="2">
        <v>1</v>
      </c>
      <c r="E2714" t="str">
        <f>"4574674200780161"</f>
        <v>4574674200780161</v>
      </c>
      <c r="F2714" t="str">
        <f>"969"</f>
        <v>969</v>
      </c>
      <c r="G2714">
        <v>1</v>
      </c>
      <c r="H2714">
        <v>2023</v>
      </c>
      <c r="I2714" t="s">
        <v>2829</v>
      </c>
    </row>
    <row r="2715" spans="1:9" x14ac:dyDescent="0.3">
      <c r="A2715" t="s">
        <v>10137</v>
      </c>
      <c r="B2715" t="s">
        <v>114</v>
      </c>
      <c r="C2715">
        <v>9406980470</v>
      </c>
      <c r="D2715" s="2">
        <v>1</v>
      </c>
      <c r="E2715" t="str">
        <f>"4574674200780179"</f>
        <v>4574674200780179</v>
      </c>
      <c r="F2715" t="str">
        <f>"697"</f>
        <v>697</v>
      </c>
      <c r="G2715">
        <v>1</v>
      </c>
      <c r="H2715">
        <v>2023</v>
      </c>
      <c r="I2715" t="s">
        <v>2830</v>
      </c>
    </row>
    <row r="2716" spans="1:9" x14ac:dyDescent="0.3">
      <c r="A2716" t="s">
        <v>10137</v>
      </c>
      <c r="B2716" t="s">
        <v>114</v>
      </c>
      <c r="C2716">
        <v>9406980470</v>
      </c>
      <c r="D2716" s="2">
        <v>1</v>
      </c>
      <c r="E2716" t="str">
        <f>"4574674200780187"</f>
        <v>4574674200780187</v>
      </c>
      <c r="F2716" t="str">
        <f>"993"</f>
        <v>993</v>
      </c>
      <c r="G2716">
        <v>1</v>
      </c>
      <c r="H2716">
        <v>2023</v>
      </c>
      <c r="I2716" t="s">
        <v>2831</v>
      </c>
    </row>
    <row r="2717" spans="1:9" x14ac:dyDescent="0.3">
      <c r="A2717" t="s">
        <v>10137</v>
      </c>
      <c r="B2717" t="s">
        <v>114</v>
      </c>
      <c r="C2717">
        <v>9406980470</v>
      </c>
      <c r="D2717" s="2">
        <v>1</v>
      </c>
      <c r="E2717" t="str">
        <f>"4574674200779981"</f>
        <v>4574674200779981</v>
      </c>
      <c r="F2717" t="str">
        <f>"024"</f>
        <v>024</v>
      </c>
      <c r="G2717">
        <v>1</v>
      </c>
      <c r="H2717">
        <v>2023</v>
      </c>
      <c r="I2717" t="s">
        <v>2832</v>
      </c>
    </row>
    <row r="2718" spans="1:9" x14ac:dyDescent="0.3">
      <c r="A2718" t="s">
        <v>10137</v>
      </c>
      <c r="B2718" t="s">
        <v>114</v>
      </c>
      <c r="C2718">
        <v>9406980470</v>
      </c>
      <c r="D2718" s="2">
        <v>1</v>
      </c>
      <c r="E2718" t="str">
        <f>"4574674200780203"</f>
        <v>4574674200780203</v>
      </c>
      <c r="F2718" t="str">
        <f>"589"</f>
        <v>589</v>
      </c>
      <c r="G2718">
        <v>1</v>
      </c>
      <c r="H2718">
        <v>2023</v>
      </c>
      <c r="I2718" t="s">
        <v>2833</v>
      </c>
    </row>
    <row r="2719" spans="1:9" x14ac:dyDescent="0.3">
      <c r="A2719" t="s">
        <v>10137</v>
      </c>
      <c r="B2719" t="s">
        <v>114</v>
      </c>
      <c r="C2719">
        <v>9406980470</v>
      </c>
      <c r="D2719" s="2">
        <v>1</v>
      </c>
      <c r="E2719" t="str">
        <f>"4574674200780401"</f>
        <v>4574674200780401</v>
      </c>
      <c r="F2719" t="str">
        <f>"739"</f>
        <v>739</v>
      </c>
      <c r="G2719">
        <v>1</v>
      </c>
      <c r="H2719">
        <v>2023</v>
      </c>
      <c r="I2719" t="s">
        <v>2834</v>
      </c>
    </row>
    <row r="2720" spans="1:9" x14ac:dyDescent="0.3">
      <c r="A2720" t="s">
        <v>10137</v>
      </c>
      <c r="B2720" t="s">
        <v>114</v>
      </c>
      <c r="C2720">
        <v>9406980470</v>
      </c>
      <c r="D2720" s="2">
        <v>1</v>
      </c>
      <c r="E2720" t="str">
        <f>"4574674200780435"</f>
        <v>4574674200780435</v>
      </c>
      <c r="F2720" t="str">
        <f>"245"</f>
        <v>245</v>
      </c>
      <c r="G2720">
        <v>1</v>
      </c>
      <c r="H2720">
        <v>2023</v>
      </c>
      <c r="I2720" t="s">
        <v>2835</v>
      </c>
    </row>
    <row r="2721" spans="1:9" x14ac:dyDescent="0.3">
      <c r="A2721" t="s">
        <v>10138</v>
      </c>
      <c r="B2721" t="s">
        <v>115</v>
      </c>
      <c r="C2721">
        <v>9406980470</v>
      </c>
      <c r="D2721" s="2">
        <v>1</v>
      </c>
      <c r="E2721" t="str">
        <f>"4574674200780484"</f>
        <v>4574674200780484</v>
      </c>
      <c r="F2721" t="str">
        <f>"262"</f>
        <v>262</v>
      </c>
      <c r="G2721">
        <v>1</v>
      </c>
      <c r="H2721">
        <v>2023</v>
      </c>
      <c r="I2721" t="s">
        <v>2836</v>
      </c>
    </row>
    <row r="2722" spans="1:9" x14ac:dyDescent="0.3">
      <c r="A2722" t="s">
        <v>10138</v>
      </c>
      <c r="B2722" t="s">
        <v>115</v>
      </c>
      <c r="C2722">
        <v>9406980470</v>
      </c>
      <c r="D2722" s="2">
        <v>1</v>
      </c>
      <c r="E2722" t="str">
        <f>"4574674200780492"</f>
        <v>4574674200780492</v>
      </c>
      <c r="F2722" t="str">
        <f>"913"</f>
        <v>913</v>
      </c>
      <c r="G2722">
        <v>1</v>
      </c>
      <c r="H2722">
        <v>2023</v>
      </c>
      <c r="I2722" t="s">
        <v>2837</v>
      </c>
    </row>
    <row r="2723" spans="1:9" x14ac:dyDescent="0.3">
      <c r="A2723" t="s">
        <v>10138</v>
      </c>
      <c r="B2723" t="s">
        <v>115</v>
      </c>
      <c r="C2723">
        <v>9406980470</v>
      </c>
      <c r="D2723" s="2">
        <v>1</v>
      </c>
      <c r="E2723" t="str">
        <f>"4574674200780500"</f>
        <v>4574674200780500</v>
      </c>
      <c r="F2723" t="str">
        <f>"010"</f>
        <v>010</v>
      </c>
      <c r="G2723">
        <v>1</v>
      </c>
      <c r="H2723">
        <v>2023</v>
      </c>
      <c r="I2723" t="s">
        <v>2838</v>
      </c>
    </row>
    <row r="2724" spans="1:9" x14ac:dyDescent="0.3">
      <c r="A2724" t="s">
        <v>10138</v>
      </c>
      <c r="B2724" t="s">
        <v>115</v>
      </c>
      <c r="C2724">
        <v>9406980470</v>
      </c>
      <c r="D2724" s="2">
        <v>1</v>
      </c>
      <c r="E2724" t="str">
        <f>"4574674200780328"</f>
        <v>4574674200780328</v>
      </c>
      <c r="F2724" t="str">
        <f>"499"</f>
        <v>499</v>
      </c>
      <c r="G2724">
        <v>1</v>
      </c>
      <c r="H2724">
        <v>2023</v>
      </c>
      <c r="I2724" t="s">
        <v>2839</v>
      </c>
    </row>
    <row r="2725" spans="1:9" x14ac:dyDescent="0.3">
      <c r="A2725" t="s">
        <v>10138</v>
      </c>
      <c r="B2725" t="s">
        <v>115</v>
      </c>
      <c r="C2725">
        <v>9406980470</v>
      </c>
      <c r="D2725" s="2">
        <v>1</v>
      </c>
      <c r="E2725" t="str">
        <f>"4574674200780369"</f>
        <v>4574674200780369</v>
      </c>
      <c r="F2725" t="str">
        <f>"187"</f>
        <v>187</v>
      </c>
      <c r="G2725">
        <v>1</v>
      </c>
      <c r="H2725">
        <v>2023</v>
      </c>
      <c r="I2725" t="s">
        <v>2840</v>
      </c>
    </row>
    <row r="2726" spans="1:9" x14ac:dyDescent="0.3">
      <c r="A2726" t="s">
        <v>10138</v>
      </c>
      <c r="B2726" t="s">
        <v>115</v>
      </c>
      <c r="C2726">
        <v>9406980470</v>
      </c>
      <c r="D2726" s="2">
        <v>1</v>
      </c>
      <c r="E2726" t="str">
        <f>"4574674200780542"</f>
        <v>4574674200780542</v>
      </c>
      <c r="F2726" t="str">
        <f>"216"</f>
        <v>216</v>
      </c>
      <c r="G2726">
        <v>1</v>
      </c>
      <c r="H2726">
        <v>2023</v>
      </c>
      <c r="I2726" t="s">
        <v>2841</v>
      </c>
    </row>
    <row r="2727" spans="1:9" x14ac:dyDescent="0.3">
      <c r="A2727" t="s">
        <v>10138</v>
      </c>
      <c r="B2727" t="s">
        <v>115</v>
      </c>
      <c r="C2727">
        <v>9406980470</v>
      </c>
      <c r="D2727" s="2">
        <v>1</v>
      </c>
      <c r="E2727" t="str">
        <f>"4574674200780559"</f>
        <v>4574674200780559</v>
      </c>
      <c r="F2727" t="str">
        <f>"903"</f>
        <v>903</v>
      </c>
      <c r="G2727">
        <v>1</v>
      </c>
      <c r="H2727">
        <v>2023</v>
      </c>
      <c r="I2727" t="s">
        <v>2842</v>
      </c>
    </row>
    <row r="2728" spans="1:9" x14ac:dyDescent="0.3">
      <c r="A2728" t="s">
        <v>10138</v>
      </c>
      <c r="B2728" t="s">
        <v>115</v>
      </c>
      <c r="C2728">
        <v>9406980470</v>
      </c>
      <c r="D2728" s="2">
        <v>1</v>
      </c>
      <c r="E2728" t="str">
        <f>"4574674200780534"</f>
        <v>4574674200780534</v>
      </c>
      <c r="F2728" t="str">
        <f>"976"</f>
        <v>976</v>
      </c>
      <c r="G2728">
        <v>1</v>
      </c>
      <c r="H2728">
        <v>2023</v>
      </c>
      <c r="I2728" t="s">
        <v>2843</v>
      </c>
    </row>
    <row r="2729" spans="1:9" x14ac:dyDescent="0.3">
      <c r="A2729" t="s">
        <v>10138</v>
      </c>
      <c r="B2729" t="s">
        <v>115</v>
      </c>
      <c r="C2729">
        <v>9406980470</v>
      </c>
      <c r="D2729" s="2">
        <v>1</v>
      </c>
      <c r="E2729" t="str">
        <f>"4574674200780567"</f>
        <v>4574674200780567</v>
      </c>
      <c r="F2729" t="str">
        <f>"074"</f>
        <v>074</v>
      </c>
      <c r="G2729">
        <v>1</v>
      </c>
      <c r="H2729">
        <v>2023</v>
      </c>
      <c r="I2729" t="s">
        <v>2844</v>
      </c>
    </row>
    <row r="2730" spans="1:9" x14ac:dyDescent="0.3">
      <c r="A2730" t="s">
        <v>10138</v>
      </c>
      <c r="B2730" t="s">
        <v>115</v>
      </c>
      <c r="C2730">
        <v>9406980470</v>
      </c>
      <c r="D2730" s="2">
        <v>1</v>
      </c>
      <c r="E2730" t="str">
        <f>"4574674200780591"</f>
        <v>4574674200780591</v>
      </c>
      <c r="F2730" t="str">
        <f>"230"</f>
        <v>230</v>
      </c>
      <c r="G2730">
        <v>1</v>
      </c>
      <c r="H2730">
        <v>2023</v>
      </c>
      <c r="I2730" t="s">
        <v>2845</v>
      </c>
    </row>
    <row r="2731" spans="1:9" x14ac:dyDescent="0.3">
      <c r="A2731" t="s">
        <v>10139</v>
      </c>
      <c r="B2731" t="s">
        <v>116</v>
      </c>
      <c r="C2731">
        <v>9406980470</v>
      </c>
      <c r="D2731" s="2">
        <v>1</v>
      </c>
      <c r="E2731" t="str">
        <f>"4574674200780393"</f>
        <v>4574674200780393</v>
      </c>
      <c r="F2731" t="str">
        <f>"174"</f>
        <v>174</v>
      </c>
      <c r="G2731">
        <v>1</v>
      </c>
      <c r="H2731">
        <v>2023</v>
      </c>
      <c r="I2731" t="s">
        <v>2846</v>
      </c>
    </row>
    <row r="2732" spans="1:9" x14ac:dyDescent="0.3">
      <c r="A2732" t="s">
        <v>10139</v>
      </c>
      <c r="B2732" t="s">
        <v>116</v>
      </c>
      <c r="C2732">
        <v>9406980470</v>
      </c>
      <c r="D2732" s="2">
        <v>1</v>
      </c>
      <c r="E2732" t="str">
        <f>"4574674200780674"</f>
        <v>4574674200780674</v>
      </c>
      <c r="F2732" t="str">
        <f>"700"</f>
        <v>700</v>
      </c>
      <c r="G2732">
        <v>1</v>
      </c>
      <c r="H2732">
        <v>2023</v>
      </c>
      <c r="I2732" t="s">
        <v>2847</v>
      </c>
    </row>
    <row r="2733" spans="1:9" x14ac:dyDescent="0.3">
      <c r="A2733" t="s">
        <v>10139</v>
      </c>
      <c r="B2733" t="s">
        <v>116</v>
      </c>
      <c r="C2733">
        <v>9406980470</v>
      </c>
      <c r="D2733" s="2">
        <v>1</v>
      </c>
      <c r="E2733" t="str">
        <f>"4574674200780666"</f>
        <v>4574674200780666</v>
      </c>
      <c r="F2733" t="str">
        <f>"694"</f>
        <v>694</v>
      </c>
      <c r="G2733">
        <v>1</v>
      </c>
      <c r="H2733">
        <v>2023</v>
      </c>
      <c r="I2733" t="s">
        <v>2848</v>
      </c>
    </row>
    <row r="2734" spans="1:9" x14ac:dyDescent="0.3">
      <c r="A2734" t="s">
        <v>10139</v>
      </c>
      <c r="B2734" t="s">
        <v>116</v>
      </c>
      <c r="C2734">
        <v>9406980470</v>
      </c>
      <c r="D2734" s="2">
        <v>1</v>
      </c>
      <c r="E2734" t="str">
        <f>"4574674200780682"</f>
        <v>4574674200780682</v>
      </c>
      <c r="F2734" t="str">
        <f>"606"</f>
        <v>606</v>
      </c>
      <c r="G2734">
        <v>1</v>
      </c>
      <c r="H2734">
        <v>2023</v>
      </c>
      <c r="I2734" t="s">
        <v>2849</v>
      </c>
    </row>
    <row r="2735" spans="1:9" x14ac:dyDescent="0.3">
      <c r="A2735" t="s">
        <v>10139</v>
      </c>
      <c r="B2735" t="s">
        <v>116</v>
      </c>
      <c r="C2735">
        <v>9406980470</v>
      </c>
      <c r="D2735" s="2">
        <v>1</v>
      </c>
      <c r="E2735" t="str">
        <f>"4574674200780922"</f>
        <v>4574674200780922</v>
      </c>
      <c r="F2735" t="str">
        <f>"481"</f>
        <v>481</v>
      </c>
      <c r="G2735">
        <v>1</v>
      </c>
      <c r="H2735">
        <v>2023</v>
      </c>
      <c r="I2735" t="s">
        <v>2850</v>
      </c>
    </row>
    <row r="2736" spans="1:9" x14ac:dyDescent="0.3">
      <c r="A2736" t="s">
        <v>10139</v>
      </c>
      <c r="B2736" t="s">
        <v>116</v>
      </c>
      <c r="C2736">
        <v>9406980470</v>
      </c>
      <c r="D2736" s="2">
        <v>1</v>
      </c>
      <c r="E2736" t="str">
        <f>"4574674200780716"</f>
        <v>4574674200780716</v>
      </c>
      <c r="F2736" t="str">
        <f>"375"</f>
        <v>375</v>
      </c>
      <c r="G2736">
        <v>1</v>
      </c>
      <c r="H2736">
        <v>2023</v>
      </c>
      <c r="I2736" t="s">
        <v>2851</v>
      </c>
    </row>
    <row r="2737" spans="1:9" x14ac:dyDescent="0.3">
      <c r="A2737" t="s">
        <v>10139</v>
      </c>
      <c r="B2737" t="s">
        <v>116</v>
      </c>
      <c r="C2737">
        <v>9406980470</v>
      </c>
      <c r="D2737" s="2">
        <v>1</v>
      </c>
      <c r="E2737" t="str">
        <f>"4574674200780740"</f>
        <v>4574674200780740</v>
      </c>
      <c r="F2737" t="str">
        <f>"219"</f>
        <v>219</v>
      </c>
      <c r="G2737">
        <v>1</v>
      </c>
      <c r="H2737">
        <v>2023</v>
      </c>
      <c r="I2737" t="s">
        <v>2852</v>
      </c>
    </row>
    <row r="2738" spans="1:9" x14ac:dyDescent="0.3">
      <c r="A2738" t="s">
        <v>10139</v>
      </c>
      <c r="B2738" t="s">
        <v>116</v>
      </c>
      <c r="C2738">
        <v>9406980470</v>
      </c>
      <c r="D2738" s="2">
        <v>1</v>
      </c>
      <c r="E2738" t="str">
        <f>"4574674200781003"</f>
        <v>4574674200781003</v>
      </c>
      <c r="F2738" t="str">
        <f>"301"</f>
        <v>301</v>
      </c>
      <c r="G2738">
        <v>1</v>
      </c>
      <c r="H2738">
        <v>2023</v>
      </c>
      <c r="I2738" t="s">
        <v>2853</v>
      </c>
    </row>
    <row r="2739" spans="1:9" x14ac:dyDescent="0.3">
      <c r="A2739" t="s">
        <v>10139</v>
      </c>
      <c r="B2739" t="s">
        <v>116</v>
      </c>
      <c r="C2739">
        <v>9406980470</v>
      </c>
      <c r="D2739" s="2">
        <v>1</v>
      </c>
      <c r="E2739" t="str">
        <f>"4574674200780765"</f>
        <v>4574674200780765</v>
      </c>
      <c r="F2739" t="str">
        <f>"036"</f>
        <v>036</v>
      </c>
      <c r="G2739">
        <v>1</v>
      </c>
      <c r="H2739">
        <v>2023</v>
      </c>
      <c r="I2739" t="s">
        <v>2854</v>
      </c>
    </row>
    <row r="2740" spans="1:9" x14ac:dyDescent="0.3">
      <c r="A2740" t="s">
        <v>10117</v>
      </c>
      <c r="B2740" t="s">
        <v>9</v>
      </c>
      <c r="C2740">
        <v>7648876604</v>
      </c>
      <c r="D2740" s="2">
        <v>1</v>
      </c>
      <c r="E2740" t="str">
        <f>"4574674200780773"</f>
        <v>4574674200780773</v>
      </c>
      <c r="F2740" t="str">
        <f>"128"</f>
        <v>128</v>
      </c>
      <c r="G2740">
        <v>1</v>
      </c>
      <c r="H2740">
        <v>2023</v>
      </c>
      <c r="I2740" t="s">
        <v>2855</v>
      </c>
    </row>
    <row r="2741" spans="1:9" x14ac:dyDescent="0.3">
      <c r="A2741" t="s">
        <v>10117</v>
      </c>
      <c r="B2741" t="s">
        <v>9</v>
      </c>
      <c r="C2741">
        <v>7648876604</v>
      </c>
      <c r="D2741" s="2">
        <v>1</v>
      </c>
      <c r="E2741" t="str">
        <f>"4574674200781094"</f>
        <v>4574674200781094</v>
      </c>
      <c r="F2741" t="str">
        <f>"640"</f>
        <v>640</v>
      </c>
      <c r="G2741">
        <v>1</v>
      </c>
      <c r="H2741">
        <v>2023</v>
      </c>
      <c r="I2741" t="s">
        <v>2856</v>
      </c>
    </row>
    <row r="2742" spans="1:9" x14ac:dyDescent="0.3">
      <c r="A2742" t="s">
        <v>10117</v>
      </c>
      <c r="B2742" t="s">
        <v>9</v>
      </c>
      <c r="C2742">
        <v>7648876604</v>
      </c>
      <c r="D2742" s="2">
        <v>1</v>
      </c>
      <c r="E2742" t="str">
        <f>"4574674200781227"</f>
        <v>4574674200781227</v>
      </c>
      <c r="F2742" t="str">
        <f>"278"</f>
        <v>278</v>
      </c>
      <c r="G2742">
        <v>1</v>
      </c>
      <c r="H2742">
        <v>2023</v>
      </c>
      <c r="I2742" t="s">
        <v>2857</v>
      </c>
    </row>
    <row r="2743" spans="1:9" x14ac:dyDescent="0.3">
      <c r="A2743" t="s">
        <v>10117</v>
      </c>
      <c r="B2743" t="s">
        <v>9</v>
      </c>
      <c r="C2743">
        <v>7648876604</v>
      </c>
      <c r="D2743" s="2">
        <v>1</v>
      </c>
      <c r="E2743" t="str">
        <f>"4574674200781243"</f>
        <v>4574674200781243</v>
      </c>
      <c r="F2743" t="str">
        <f>"475"</f>
        <v>475</v>
      </c>
      <c r="G2743">
        <v>1</v>
      </c>
      <c r="H2743">
        <v>2023</v>
      </c>
      <c r="I2743" t="s">
        <v>2858</v>
      </c>
    </row>
    <row r="2744" spans="1:9" x14ac:dyDescent="0.3">
      <c r="A2744" t="s">
        <v>10117</v>
      </c>
      <c r="B2744" t="s">
        <v>9</v>
      </c>
      <c r="C2744">
        <v>7648876604</v>
      </c>
      <c r="D2744" s="2">
        <v>1</v>
      </c>
      <c r="E2744" t="str">
        <f>"4574674200781235"</f>
        <v>4574674200781235</v>
      </c>
      <c r="F2744" t="str">
        <f>"840"</f>
        <v>840</v>
      </c>
      <c r="G2744">
        <v>1</v>
      </c>
      <c r="H2744">
        <v>2023</v>
      </c>
      <c r="I2744" t="s">
        <v>2859</v>
      </c>
    </row>
    <row r="2745" spans="1:9" x14ac:dyDescent="0.3">
      <c r="A2745" t="s">
        <v>10117</v>
      </c>
      <c r="B2745" t="s">
        <v>9</v>
      </c>
      <c r="C2745">
        <v>7648876604</v>
      </c>
      <c r="D2745" s="2">
        <v>1</v>
      </c>
      <c r="E2745" t="str">
        <f>"4574674200781185"</f>
        <v>4574674200781185</v>
      </c>
      <c r="F2745" t="str">
        <f>"546"</f>
        <v>546</v>
      </c>
      <c r="G2745">
        <v>1</v>
      </c>
      <c r="H2745">
        <v>2023</v>
      </c>
      <c r="I2745" t="s">
        <v>2860</v>
      </c>
    </row>
    <row r="2746" spans="1:9" x14ac:dyDescent="0.3">
      <c r="A2746" t="s">
        <v>10117</v>
      </c>
      <c r="B2746" t="s">
        <v>9</v>
      </c>
      <c r="C2746">
        <v>7648876604</v>
      </c>
      <c r="D2746" s="2">
        <v>1</v>
      </c>
      <c r="E2746" t="str">
        <f>"4574674200781300"</f>
        <v>4574674200781300</v>
      </c>
      <c r="F2746" t="str">
        <f>"818"</f>
        <v>818</v>
      </c>
      <c r="G2746">
        <v>1</v>
      </c>
      <c r="H2746">
        <v>2023</v>
      </c>
      <c r="I2746" t="s">
        <v>2861</v>
      </c>
    </row>
    <row r="2747" spans="1:9" x14ac:dyDescent="0.3">
      <c r="A2747" t="s">
        <v>10117</v>
      </c>
      <c r="B2747" t="s">
        <v>9</v>
      </c>
      <c r="C2747">
        <v>7648876604</v>
      </c>
      <c r="D2747" s="2">
        <v>1</v>
      </c>
      <c r="E2747" t="str">
        <f>"4574674200781318"</f>
        <v>4574674200781318</v>
      </c>
      <c r="F2747" t="str">
        <f>"378"</f>
        <v>378</v>
      </c>
      <c r="G2747">
        <v>1</v>
      </c>
      <c r="H2747">
        <v>2023</v>
      </c>
      <c r="I2747" t="s">
        <v>2862</v>
      </c>
    </row>
    <row r="2748" spans="1:9" x14ac:dyDescent="0.3">
      <c r="A2748" t="s">
        <v>10117</v>
      </c>
      <c r="B2748" t="s">
        <v>9</v>
      </c>
      <c r="C2748">
        <v>7648876604</v>
      </c>
      <c r="D2748" s="2">
        <v>1</v>
      </c>
      <c r="E2748" t="str">
        <f>"4574674200781367"</f>
        <v>4574674200781367</v>
      </c>
      <c r="F2748" t="str">
        <f>"921"</f>
        <v>921</v>
      </c>
      <c r="G2748">
        <v>1</v>
      </c>
      <c r="H2748">
        <v>2023</v>
      </c>
      <c r="I2748" t="s">
        <v>2863</v>
      </c>
    </row>
    <row r="2749" spans="1:9" x14ac:dyDescent="0.3">
      <c r="A2749" t="s">
        <v>10117</v>
      </c>
      <c r="B2749" t="s">
        <v>9</v>
      </c>
      <c r="C2749">
        <v>7648876604</v>
      </c>
      <c r="D2749" s="2">
        <v>1</v>
      </c>
      <c r="E2749" t="str">
        <f>"4574674200781375"</f>
        <v>4574674200781375</v>
      </c>
      <c r="F2749" t="str">
        <f>"816"</f>
        <v>816</v>
      </c>
      <c r="G2749">
        <v>1</v>
      </c>
      <c r="H2749">
        <v>2023</v>
      </c>
      <c r="I2749" t="s">
        <v>2864</v>
      </c>
    </row>
    <row r="2750" spans="1:9" x14ac:dyDescent="0.3">
      <c r="A2750" t="s">
        <v>10118</v>
      </c>
      <c r="B2750" t="s">
        <v>10</v>
      </c>
      <c r="C2750">
        <v>7648876604</v>
      </c>
      <c r="D2750" s="2">
        <v>1</v>
      </c>
      <c r="E2750" t="str">
        <f>"4574674200781607"</f>
        <v>4574674200781607</v>
      </c>
      <c r="F2750" t="str">
        <f>"295"</f>
        <v>295</v>
      </c>
      <c r="G2750">
        <v>1</v>
      </c>
      <c r="H2750">
        <v>2023</v>
      </c>
      <c r="I2750" t="s">
        <v>2865</v>
      </c>
    </row>
    <row r="2751" spans="1:9" x14ac:dyDescent="0.3">
      <c r="A2751" t="s">
        <v>10118</v>
      </c>
      <c r="B2751" t="s">
        <v>10</v>
      </c>
      <c r="C2751">
        <v>7648876604</v>
      </c>
      <c r="D2751" s="2">
        <v>1</v>
      </c>
      <c r="E2751" t="str">
        <f>"4574674200781623"</f>
        <v>4574674200781623</v>
      </c>
      <c r="F2751" t="str">
        <f>"906"</f>
        <v>906</v>
      </c>
      <c r="G2751">
        <v>1</v>
      </c>
      <c r="H2751">
        <v>2023</v>
      </c>
      <c r="I2751" t="s">
        <v>2866</v>
      </c>
    </row>
    <row r="2752" spans="1:9" x14ac:dyDescent="0.3">
      <c r="A2752" t="s">
        <v>10118</v>
      </c>
      <c r="B2752" t="s">
        <v>10</v>
      </c>
      <c r="C2752">
        <v>7648876604</v>
      </c>
      <c r="D2752" s="2">
        <v>1</v>
      </c>
      <c r="E2752" t="str">
        <f>"4574674200781656"</f>
        <v>4574674200781656</v>
      </c>
      <c r="F2752" t="str">
        <f>"066"</f>
        <v>066</v>
      </c>
      <c r="G2752">
        <v>1</v>
      </c>
      <c r="H2752">
        <v>2023</v>
      </c>
      <c r="I2752" t="s">
        <v>2867</v>
      </c>
    </row>
    <row r="2753" spans="1:9" x14ac:dyDescent="0.3">
      <c r="A2753" t="s">
        <v>10118</v>
      </c>
      <c r="B2753" t="s">
        <v>10</v>
      </c>
      <c r="C2753">
        <v>7648876604</v>
      </c>
      <c r="D2753" s="2">
        <v>1</v>
      </c>
      <c r="E2753" t="str">
        <f>"4574674200781573"</f>
        <v>4574674200781573</v>
      </c>
      <c r="F2753" t="str">
        <f>"267"</f>
        <v>267</v>
      </c>
      <c r="G2753">
        <v>1</v>
      </c>
      <c r="H2753">
        <v>2023</v>
      </c>
      <c r="I2753" t="s">
        <v>2868</v>
      </c>
    </row>
    <row r="2754" spans="1:9" x14ac:dyDescent="0.3">
      <c r="A2754" t="s">
        <v>10118</v>
      </c>
      <c r="B2754" t="s">
        <v>10</v>
      </c>
      <c r="C2754">
        <v>7648876604</v>
      </c>
      <c r="D2754" s="2">
        <v>1</v>
      </c>
      <c r="E2754" t="str">
        <f>"4574674200781805"</f>
        <v>4574674200781805</v>
      </c>
      <c r="F2754" t="str">
        <f>"805"</f>
        <v>805</v>
      </c>
      <c r="G2754">
        <v>1</v>
      </c>
      <c r="H2754">
        <v>2023</v>
      </c>
      <c r="I2754" t="s">
        <v>2869</v>
      </c>
    </row>
    <row r="2755" spans="1:9" x14ac:dyDescent="0.3">
      <c r="A2755" t="s">
        <v>10118</v>
      </c>
      <c r="B2755" t="s">
        <v>10</v>
      </c>
      <c r="C2755">
        <v>7648876604</v>
      </c>
      <c r="D2755" s="2">
        <v>1</v>
      </c>
      <c r="E2755" t="str">
        <f>"4574674200781672"</f>
        <v>4574674200781672</v>
      </c>
      <c r="F2755" t="str">
        <f>"977"</f>
        <v>977</v>
      </c>
      <c r="G2755">
        <v>1</v>
      </c>
      <c r="H2755">
        <v>2023</v>
      </c>
      <c r="I2755" t="s">
        <v>2870</v>
      </c>
    </row>
    <row r="2756" spans="1:9" x14ac:dyDescent="0.3">
      <c r="A2756" t="s">
        <v>10118</v>
      </c>
      <c r="B2756" t="s">
        <v>10</v>
      </c>
      <c r="C2756">
        <v>7648876604</v>
      </c>
      <c r="D2756" s="2">
        <v>1</v>
      </c>
      <c r="E2756" t="str">
        <f>"4574674200781698"</f>
        <v>4574674200781698</v>
      </c>
      <c r="F2756" t="str">
        <f>"045"</f>
        <v>045</v>
      </c>
      <c r="G2756">
        <v>1</v>
      </c>
      <c r="H2756">
        <v>2023</v>
      </c>
      <c r="I2756" t="s">
        <v>2871</v>
      </c>
    </row>
    <row r="2757" spans="1:9" x14ac:dyDescent="0.3">
      <c r="A2757" t="s">
        <v>10118</v>
      </c>
      <c r="B2757" t="s">
        <v>10</v>
      </c>
      <c r="C2757">
        <v>7648876604</v>
      </c>
      <c r="D2757" s="2">
        <v>1</v>
      </c>
      <c r="E2757" t="str">
        <f>"4574674200781714"</f>
        <v>4574674200781714</v>
      </c>
      <c r="F2757" t="str">
        <f>"296"</f>
        <v>296</v>
      </c>
      <c r="G2757">
        <v>1</v>
      </c>
      <c r="H2757">
        <v>2023</v>
      </c>
      <c r="I2757" t="s">
        <v>2872</v>
      </c>
    </row>
    <row r="2758" spans="1:9" x14ac:dyDescent="0.3">
      <c r="A2758" t="s">
        <v>10118</v>
      </c>
      <c r="B2758" t="s">
        <v>10</v>
      </c>
      <c r="C2758">
        <v>7648876604</v>
      </c>
      <c r="D2758" s="2">
        <v>1</v>
      </c>
      <c r="E2758" t="str">
        <f>"4574674200781755"</f>
        <v>4574674200781755</v>
      </c>
      <c r="F2758" t="str">
        <f>"951"</f>
        <v>951</v>
      </c>
      <c r="G2758">
        <v>1</v>
      </c>
      <c r="H2758">
        <v>2023</v>
      </c>
      <c r="I2758" t="s">
        <v>2873</v>
      </c>
    </row>
    <row r="2759" spans="1:9" x14ac:dyDescent="0.3">
      <c r="A2759" t="s">
        <v>10118</v>
      </c>
      <c r="B2759" t="s">
        <v>10</v>
      </c>
      <c r="C2759">
        <v>7648876604</v>
      </c>
      <c r="D2759" s="2">
        <v>1</v>
      </c>
      <c r="E2759" t="str">
        <f>"4574674200781763"</f>
        <v>4574674200781763</v>
      </c>
      <c r="F2759" t="str">
        <f>"024"</f>
        <v>024</v>
      </c>
      <c r="G2759">
        <v>1</v>
      </c>
      <c r="H2759">
        <v>2023</v>
      </c>
      <c r="I2759" t="s">
        <v>2874</v>
      </c>
    </row>
    <row r="2760" spans="1:9" x14ac:dyDescent="0.3">
      <c r="A2760" t="s">
        <v>10119</v>
      </c>
      <c r="B2760" t="s">
        <v>11</v>
      </c>
      <c r="C2760">
        <v>7648876604</v>
      </c>
      <c r="D2760" s="2">
        <v>1</v>
      </c>
      <c r="E2760" t="str">
        <f>"4574674200781946"</f>
        <v>4574674200781946</v>
      </c>
      <c r="F2760" t="str">
        <f>"074"</f>
        <v>074</v>
      </c>
      <c r="G2760">
        <v>1</v>
      </c>
      <c r="H2760">
        <v>2023</v>
      </c>
      <c r="I2760" t="s">
        <v>2875</v>
      </c>
    </row>
    <row r="2761" spans="1:9" x14ac:dyDescent="0.3">
      <c r="A2761" t="s">
        <v>10119</v>
      </c>
      <c r="B2761" t="s">
        <v>11</v>
      </c>
      <c r="C2761">
        <v>7648876604</v>
      </c>
      <c r="D2761" s="2">
        <v>1</v>
      </c>
      <c r="E2761" t="str">
        <f>"4574674200782001"</f>
        <v>4574674200782001</v>
      </c>
      <c r="F2761" t="str">
        <f>"685"</f>
        <v>685</v>
      </c>
      <c r="G2761">
        <v>1</v>
      </c>
      <c r="H2761">
        <v>2023</v>
      </c>
      <c r="I2761" t="s">
        <v>2876</v>
      </c>
    </row>
    <row r="2762" spans="1:9" x14ac:dyDescent="0.3">
      <c r="A2762" t="s">
        <v>10119</v>
      </c>
      <c r="B2762" t="s">
        <v>11</v>
      </c>
      <c r="C2762">
        <v>7648876604</v>
      </c>
      <c r="D2762" s="2">
        <v>1</v>
      </c>
      <c r="E2762" t="str">
        <f>"4574674200782209"</f>
        <v>4574674200782209</v>
      </c>
      <c r="F2762" t="str">
        <f>"199"</f>
        <v>199</v>
      </c>
      <c r="G2762">
        <v>1</v>
      </c>
      <c r="H2762">
        <v>2023</v>
      </c>
      <c r="I2762" t="s">
        <v>2877</v>
      </c>
    </row>
    <row r="2763" spans="1:9" x14ac:dyDescent="0.3">
      <c r="A2763" t="s">
        <v>10119</v>
      </c>
      <c r="B2763" t="s">
        <v>11</v>
      </c>
      <c r="C2763">
        <v>7648876604</v>
      </c>
      <c r="D2763" s="2">
        <v>1</v>
      </c>
      <c r="E2763" t="str">
        <f>"4574674200782217"</f>
        <v>4574674200782217</v>
      </c>
      <c r="F2763" t="str">
        <f>"917"</f>
        <v>917</v>
      </c>
      <c r="G2763">
        <v>1</v>
      </c>
      <c r="H2763">
        <v>2023</v>
      </c>
      <c r="I2763" t="s">
        <v>2878</v>
      </c>
    </row>
    <row r="2764" spans="1:9" x14ac:dyDescent="0.3">
      <c r="A2764" t="s">
        <v>10119</v>
      </c>
      <c r="B2764" t="s">
        <v>11</v>
      </c>
      <c r="C2764">
        <v>7648876604</v>
      </c>
      <c r="D2764" s="2">
        <v>1</v>
      </c>
      <c r="E2764" t="str">
        <f>"4574674200782241"</f>
        <v>4574674200782241</v>
      </c>
      <c r="F2764" t="str">
        <f>"399"</f>
        <v>399</v>
      </c>
      <c r="G2764">
        <v>1</v>
      </c>
      <c r="H2764">
        <v>2023</v>
      </c>
      <c r="I2764" t="s">
        <v>2879</v>
      </c>
    </row>
    <row r="2765" spans="1:9" x14ac:dyDescent="0.3">
      <c r="A2765" t="s">
        <v>10119</v>
      </c>
      <c r="B2765" t="s">
        <v>11</v>
      </c>
      <c r="C2765">
        <v>7648876604</v>
      </c>
      <c r="D2765" s="2">
        <v>1</v>
      </c>
      <c r="E2765" t="str">
        <f>"4574674200782225"</f>
        <v>4574674200782225</v>
      </c>
      <c r="F2765" t="str">
        <f>"869"</f>
        <v>869</v>
      </c>
      <c r="G2765">
        <v>1</v>
      </c>
      <c r="H2765">
        <v>2023</v>
      </c>
      <c r="I2765" t="s">
        <v>2880</v>
      </c>
    </row>
    <row r="2766" spans="1:9" x14ac:dyDescent="0.3">
      <c r="A2766" t="s">
        <v>10119</v>
      </c>
      <c r="B2766" t="s">
        <v>11</v>
      </c>
      <c r="C2766">
        <v>7648876604</v>
      </c>
      <c r="D2766" s="2">
        <v>1</v>
      </c>
      <c r="E2766" t="str">
        <f>"4574674200782290"</f>
        <v>4574674200782290</v>
      </c>
      <c r="F2766" t="str">
        <f>"794"</f>
        <v>794</v>
      </c>
      <c r="G2766">
        <v>1</v>
      </c>
      <c r="H2766">
        <v>2023</v>
      </c>
      <c r="I2766" t="s">
        <v>2881</v>
      </c>
    </row>
    <row r="2767" spans="1:9" x14ac:dyDescent="0.3">
      <c r="A2767" t="s">
        <v>10119</v>
      </c>
      <c r="B2767" t="s">
        <v>11</v>
      </c>
      <c r="C2767">
        <v>7648876604</v>
      </c>
      <c r="D2767" s="2">
        <v>1</v>
      </c>
      <c r="E2767" t="str">
        <f>"4574674200782134"</f>
        <v>4574674200782134</v>
      </c>
      <c r="F2767" t="str">
        <f>"330"</f>
        <v>330</v>
      </c>
      <c r="G2767">
        <v>1</v>
      </c>
      <c r="H2767">
        <v>2023</v>
      </c>
      <c r="I2767" t="s">
        <v>2882</v>
      </c>
    </row>
    <row r="2768" spans="1:9" x14ac:dyDescent="0.3">
      <c r="A2768" t="s">
        <v>10119</v>
      </c>
      <c r="B2768" t="s">
        <v>11</v>
      </c>
      <c r="C2768">
        <v>7648876604</v>
      </c>
      <c r="D2768" s="2">
        <v>1</v>
      </c>
      <c r="E2768" t="str">
        <f>"4574674200782159"</f>
        <v>4574674200782159</v>
      </c>
      <c r="F2768" t="str">
        <f>"039"</f>
        <v>039</v>
      </c>
      <c r="G2768">
        <v>1</v>
      </c>
      <c r="H2768">
        <v>2023</v>
      </c>
      <c r="I2768" t="s">
        <v>2883</v>
      </c>
    </row>
    <row r="2769" spans="1:9" x14ac:dyDescent="0.3">
      <c r="A2769" t="s">
        <v>10119</v>
      </c>
      <c r="B2769" t="s">
        <v>11</v>
      </c>
      <c r="C2769">
        <v>7648876604</v>
      </c>
      <c r="D2769" s="2">
        <v>1</v>
      </c>
      <c r="E2769" t="str">
        <f>"4574674200782324"</f>
        <v>4574674200782324</v>
      </c>
      <c r="F2769" t="str">
        <f>"509"</f>
        <v>509</v>
      </c>
      <c r="G2769">
        <v>1</v>
      </c>
      <c r="H2769">
        <v>2023</v>
      </c>
      <c r="I2769" t="s">
        <v>2884</v>
      </c>
    </row>
    <row r="2770" spans="1:9" x14ac:dyDescent="0.3">
      <c r="A2770" t="s">
        <v>10120</v>
      </c>
      <c r="B2770" t="s">
        <v>12</v>
      </c>
      <c r="C2770">
        <v>7648876604</v>
      </c>
      <c r="D2770" s="2">
        <v>1</v>
      </c>
      <c r="E2770" t="str">
        <f>"4574674200782340"</f>
        <v>4574674200782340</v>
      </c>
      <c r="F2770" t="str">
        <f>"182"</f>
        <v>182</v>
      </c>
      <c r="G2770">
        <v>1</v>
      </c>
      <c r="H2770">
        <v>2023</v>
      </c>
      <c r="I2770" t="s">
        <v>2885</v>
      </c>
    </row>
    <row r="2771" spans="1:9" x14ac:dyDescent="0.3">
      <c r="A2771" t="s">
        <v>10120</v>
      </c>
      <c r="B2771" t="s">
        <v>12</v>
      </c>
      <c r="C2771">
        <v>7648876604</v>
      </c>
      <c r="D2771" s="2">
        <v>1</v>
      </c>
      <c r="E2771" t="str">
        <f>"4574674200782423"</f>
        <v>4574674200782423</v>
      </c>
      <c r="F2771" t="str">
        <f>"896"</f>
        <v>896</v>
      </c>
      <c r="G2771">
        <v>1</v>
      </c>
      <c r="H2771">
        <v>2023</v>
      </c>
      <c r="I2771" t="s">
        <v>2886</v>
      </c>
    </row>
    <row r="2772" spans="1:9" x14ac:dyDescent="0.3">
      <c r="A2772" t="s">
        <v>10120</v>
      </c>
      <c r="B2772" t="s">
        <v>12</v>
      </c>
      <c r="C2772">
        <v>7648876604</v>
      </c>
      <c r="D2772" s="2">
        <v>1</v>
      </c>
      <c r="E2772" t="str">
        <f>"4574674200782365"</f>
        <v>4574674200782365</v>
      </c>
      <c r="F2772" t="str">
        <f>"111"</f>
        <v>111</v>
      </c>
      <c r="G2772">
        <v>1</v>
      </c>
      <c r="H2772">
        <v>2023</v>
      </c>
      <c r="I2772" t="s">
        <v>2887</v>
      </c>
    </row>
    <row r="2773" spans="1:9" x14ac:dyDescent="0.3">
      <c r="A2773" t="s">
        <v>10120</v>
      </c>
      <c r="B2773" t="s">
        <v>12</v>
      </c>
      <c r="C2773">
        <v>7648876604</v>
      </c>
      <c r="D2773" s="2">
        <v>1</v>
      </c>
      <c r="E2773" t="str">
        <f>"4574674200782506"</f>
        <v>4574674200782506</v>
      </c>
      <c r="F2773" t="str">
        <f>"077"</f>
        <v>077</v>
      </c>
      <c r="G2773">
        <v>1</v>
      </c>
      <c r="H2773">
        <v>2023</v>
      </c>
      <c r="I2773" t="s">
        <v>2888</v>
      </c>
    </row>
    <row r="2774" spans="1:9" x14ac:dyDescent="0.3">
      <c r="A2774" t="s">
        <v>10120</v>
      </c>
      <c r="B2774" t="s">
        <v>12</v>
      </c>
      <c r="C2774">
        <v>7648876604</v>
      </c>
      <c r="D2774" s="2">
        <v>1</v>
      </c>
      <c r="E2774" t="str">
        <f>"4574674200782381"</f>
        <v>4574674200782381</v>
      </c>
      <c r="F2774" t="str">
        <f>"884"</f>
        <v>884</v>
      </c>
      <c r="G2774">
        <v>1</v>
      </c>
      <c r="H2774">
        <v>2023</v>
      </c>
      <c r="I2774" t="s">
        <v>2889</v>
      </c>
    </row>
    <row r="2775" spans="1:9" x14ac:dyDescent="0.3">
      <c r="A2775" t="s">
        <v>10120</v>
      </c>
      <c r="B2775" t="s">
        <v>12</v>
      </c>
      <c r="C2775">
        <v>7648876604</v>
      </c>
      <c r="D2775" s="2">
        <v>1</v>
      </c>
      <c r="E2775" t="str">
        <f>"4574674200782605"</f>
        <v>4574674200782605</v>
      </c>
      <c r="F2775" t="str">
        <f>"625"</f>
        <v>625</v>
      </c>
      <c r="G2775">
        <v>1</v>
      </c>
      <c r="H2775">
        <v>2023</v>
      </c>
      <c r="I2775" t="s">
        <v>2890</v>
      </c>
    </row>
    <row r="2776" spans="1:9" x14ac:dyDescent="0.3">
      <c r="A2776" t="s">
        <v>10120</v>
      </c>
      <c r="B2776" t="s">
        <v>12</v>
      </c>
      <c r="C2776">
        <v>7648876604</v>
      </c>
      <c r="D2776" s="2">
        <v>1</v>
      </c>
      <c r="E2776" t="str">
        <f>"4574674200782647"</f>
        <v>4574674200782647</v>
      </c>
      <c r="F2776" t="str">
        <f>"001"</f>
        <v>001</v>
      </c>
      <c r="G2776">
        <v>1</v>
      </c>
      <c r="H2776">
        <v>2023</v>
      </c>
      <c r="I2776" t="s">
        <v>2891</v>
      </c>
    </row>
    <row r="2777" spans="1:9" x14ac:dyDescent="0.3">
      <c r="A2777" t="s">
        <v>10120</v>
      </c>
      <c r="B2777" t="s">
        <v>12</v>
      </c>
      <c r="C2777">
        <v>7648876604</v>
      </c>
      <c r="D2777" s="2">
        <v>1</v>
      </c>
      <c r="E2777" t="str">
        <f>"4574674200782639"</f>
        <v>4574674200782639</v>
      </c>
      <c r="F2777" t="str">
        <f>"036"</f>
        <v>036</v>
      </c>
      <c r="G2777">
        <v>1</v>
      </c>
      <c r="H2777">
        <v>2023</v>
      </c>
      <c r="I2777" t="s">
        <v>2892</v>
      </c>
    </row>
    <row r="2778" spans="1:9" x14ac:dyDescent="0.3">
      <c r="A2778" t="s">
        <v>10120</v>
      </c>
      <c r="B2778" t="s">
        <v>12</v>
      </c>
      <c r="C2778">
        <v>7648876604</v>
      </c>
      <c r="D2778" s="2">
        <v>1</v>
      </c>
      <c r="E2778" t="str">
        <f>"4574674200782597"</f>
        <v>4574674200782597</v>
      </c>
      <c r="F2778" t="str">
        <f>"810"</f>
        <v>810</v>
      </c>
      <c r="G2778">
        <v>1</v>
      </c>
      <c r="H2778">
        <v>2023</v>
      </c>
      <c r="I2778" t="s">
        <v>2893</v>
      </c>
    </row>
    <row r="2779" spans="1:9" x14ac:dyDescent="0.3">
      <c r="A2779" t="s">
        <v>10120</v>
      </c>
      <c r="B2779" t="s">
        <v>12</v>
      </c>
      <c r="C2779">
        <v>7648876604</v>
      </c>
      <c r="D2779" s="2">
        <v>1</v>
      </c>
      <c r="E2779" t="str">
        <f>"4574674200782670"</f>
        <v>4574674200782670</v>
      </c>
      <c r="F2779" t="str">
        <f>"023"</f>
        <v>023</v>
      </c>
      <c r="G2779">
        <v>1</v>
      </c>
      <c r="H2779">
        <v>2023</v>
      </c>
      <c r="I2779" t="s">
        <v>2894</v>
      </c>
    </row>
    <row r="2780" spans="1:9" x14ac:dyDescent="0.3">
      <c r="A2780" t="s">
        <v>10121</v>
      </c>
      <c r="B2780" t="s">
        <v>13</v>
      </c>
      <c r="C2780">
        <v>7648876604</v>
      </c>
      <c r="D2780" s="2">
        <v>1</v>
      </c>
      <c r="E2780" t="str">
        <f>"4574674200782860"</f>
        <v>4574674200782860</v>
      </c>
      <c r="F2780" t="str">
        <f>"543"</f>
        <v>543</v>
      </c>
      <c r="G2780">
        <v>1</v>
      </c>
      <c r="H2780">
        <v>2023</v>
      </c>
      <c r="I2780" t="s">
        <v>2895</v>
      </c>
    </row>
    <row r="2781" spans="1:9" x14ac:dyDescent="0.3">
      <c r="A2781" t="s">
        <v>10121</v>
      </c>
      <c r="B2781" t="s">
        <v>13</v>
      </c>
      <c r="C2781">
        <v>7648876604</v>
      </c>
      <c r="D2781" s="2">
        <v>1</v>
      </c>
      <c r="E2781" t="str">
        <f>"4574674200782688"</f>
        <v>4574674200782688</v>
      </c>
      <c r="F2781" t="str">
        <f>"338"</f>
        <v>338</v>
      </c>
      <c r="G2781">
        <v>1</v>
      </c>
      <c r="H2781">
        <v>2023</v>
      </c>
      <c r="I2781" t="s">
        <v>2896</v>
      </c>
    </row>
    <row r="2782" spans="1:9" x14ac:dyDescent="0.3">
      <c r="A2782" t="s">
        <v>10121</v>
      </c>
      <c r="B2782" t="s">
        <v>13</v>
      </c>
      <c r="C2782">
        <v>7648876604</v>
      </c>
      <c r="D2782" s="2">
        <v>1</v>
      </c>
      <c r="E2782" t="str">
        <f>"4574674200782720"</f>
        <v>4574674200782720</v>
      </c>
      <c r="F2782" t="str">
        <f>"030"</f>
        <v>030</v>
      </c>
      <c r="G2782">
        <v>1</v>
      </c>
      <c r="H2782">
        <v>2023</v>
      </c>
      <c r="I2782" t="s">
        <v>2897</v>
      </c>
    </row>
    <row r="2783" spans="1:9" x14ac:dyDescent="0.3">
      <c r="A2783" t="s">
        <v>10121</v>
      </c>
      <c r="B2783" t="s">
        <v>13</v>
      </c>
      <c r="C2783">
        <v>7648876604</v>
      </c>
      <c r="D2783" s="2">
        <v>1</v>
      </c>
      <c r="E2783" t="str">
        <f>"4574674200782779"</f>
        <v>4574674200782779</v>
      </c>
      <c r="F2783" t="str">
        <f>"936"</f>
        <v>936</v>
      </c>
      <c r="G2783">
        <v>1</v>
      </c>
      <c r="H2783">
        <v>2023</v>
      </c>
      <c r="I2783" t="s">
        <v>2898</v>
      </c>
    </row>
    <row r="2784" spans="1:9" x14ac:dyDescent="0.3">
      <c r="A2784" t="s">
        <v>10121</v>
      </c>
      <c r="B2784" t="s">
        <v>13</v>
      </c>
      <c r="C2784">
        <v>7648876604</v>
      </c>
      <c r="D2784" s="2">
        <v>1</v>
      </c>
      <c r="E2784" t="str">
        <f>"4574674200782787"</f>
        <v>4574674200782787</v>
      </c>
      <c r="F2784" t="str">
        <f>"961"</f>
        <v>961</v>
      </c>
      <c r="G2784">
        <v>1</v>
      </c>
      <c r="H2784">
        <v>2023</v>
      </c>
      <c r="I2784" t="s">
        <v>2899</v>
      </c>
    </row>
    <row r="2785" spans="1:9" x14ac:dyDescent="0.3">
      <c r="A2785" t="s">
        <v>10121</v>
      </c>
      <c r="B2785" t="s">
        <v>13</v>
      </c>
      <c r="C2785">
        <v>7648876604</v>
      </c>
      <c r="D2785" s="2">
        <v>1</v>
      </c>
      <c r="E2785" t="str">
        <f>"4574674200782936"</f>
        <v>4574674200782936</v>
      </c>
      <c r="F2785" t="str">
        <f>"197"</f>
        <v>197</v>
      </c>
      <c r="G2785">
        <v>1</v>
      </c>
      <c r="H2785">
        <v>2023</v>
      </c>
      <c r="I2785" t="s">
        <v>2900</v>
      </c>
    </row>
    <row r="2786" spans="1:9" x14ac:dyDescent="0.3">
      <c r="A2786" t="s">
        <v>10121</v>
      </c>
      <c r="B2786" t="s">
        <v>13</v>
      </c>
      <c r="C2786">
        <v>7648876604</v>
      </c>
      <c r="D2786" s="2">
        <v>1</v>
      </c>
      <c r="E2786" t="str">
        <f>"4574674200783009"</f>
        <v>4574674200783009</v>
      </c>
      <c r="F2786" t="str">
        <f>"853"</f>
        <v>853</v>
      </c>
      <c r="G2786">
        <v>1</v>
      </c>
      <c r="H2786">
        <v>2023</v>
      </c>
      <c r="I2786" t="s">
        <v>2901</v>
      </c>
    </row>
    <row r="2787" spans="1:9" x14ac:dyDescent="0.3">
      <c r="A2787" t="s">
        <v>10121</v>
      </c>
      <c r="B2787" t="s">
        <v>13</v>
      </c>
      <c r="C2787">
        <v>7648876604</v>
      </c>
      <c r="D2787" s="2">
        <v>1</v>
      </c>
      <c r="E2787" t="str">
        <f>"4574674200782795"</f>
        <v>4574674200782795</v>
      </c>
      <c r="F2787" t="str">
        <f>"265"</f>
        <v>265</v>
      </c>
      <c r="G2787">
        <v>1</v>
      </c>
      <c r="H2787">
        <v>2023</v>
      </c>
      <c r="I2787" t="s">
        <v>2902</v>
      </c>
    </row>
    <row r="2788" spans="1:9" x14ac:dyDescent="0.3">
      <c r="A2788" t="s">
        <v>10121</v>
      </c>
      <c r="B2788" t="s">
        <v>13</v>
      </c>
      <c r="C2788">
        <v>7648876604</v>
      </c>
      <c r="D2788" s="2">
        <v>1</v>
      </c>
      <c r="E2788" t="str">
        <f>"4574674200783215"</f>
        <v>4574674200783215</v>
      </c>
      <c r="F2788" t="str">
        <f>"282"</f>
        <v>282</v>
      </c>
      <c r="G2788">
        <v>1</v>
      </c>
      <c r="H2788">
        <v>2023</v>
      </c>
      <c r="I2788" t="s">
        <v>2903</v>
      </c>
    </row>
    <row r="2789" spans="1:9" x14ac:dyDescent="0.3">
      <c r="A2789" t="s">
        <v>10121</v>
      </c>
      <c r="B2789" t="s">
        <v>13</v>
      </c>
      <c r="C2789">
        <v>7648876604</v>
      </c>
      <c r="D2789" s="2">
        <v>1</v>
      </c>
      <c r="E2789" t="str">
        <f>"4574674200783249"</f>
        <v>4574674200783249</v>
      </c>
      <c r="F2789" t="str">
        <f>"573"</f>
        <v>573</v>
      </c>
      <c r="G2789">
        <v>1</v>
      </c>
      <c r="H2789">
        <v>2023</v>
      </c>
      <c r="I2789" t="s">
        <v>2904</v>
      </c>
    </row>
    <row r="2790" spans="1:9" x14ac:dyDescent="0.3">
      <c r="A2790" t="s">
        <v>10122</v>
      </c>
      <c r="B2790" t="s">
        <v>14</v>
      </c>
      <c r="C2790">
        <v>7648876604</v>
      </c>
      <c r="D2790" s="2">
        <v>1</v>
      </c>
      <c r="E2790" t="str">
        <f>"4574674200783264"</f>
        <v>4574674200783264</v>
      </c>
      <c r="F2790" t="str">
        <f>"487"</f>
        <v>487</v>
      </c>
      <c r="G2790">
        <v>1</v>
      </c>
      <c r="H2790">
        <v>2023</v>
      </c>
      <c r="I2790" t="s">
        <v>2905</v>
      </c>
    </row>
    <row r="2791" spans="1:9" x14ac:dyDescent="0.3">
      <c r="A2791" t="s">
        <v>10122</v>
      </c>
      <c r="B2791" t="s">
        <v>14</v>
      </c>
      <c r="C2791">
        <v>7648876604</v>
      </c>
      <c r="D2791" s="2">
        <v>1</v>
      </c>
      <c r="E2791" t="str">
        <f>"4574674200783124"</f>
        <v>4574674200783124</v>
      </c>
      <c r="F2791" t="str">
        <f>"238"</f>
        <v>238</v>
      </c>
      <c r="G2791">
        <v>1</v>
      </c>
      <c r="H2791">
        <v>2023</v>
      </c>
      <c r="I2791" t="s">
        <v>2906</v>
      </c>
    </row>
    <row r="2792" spans="1:9" x14ac:dyDescent="0.3">
      <c r="A2792" t="s">
        <v>10122</v>
      </c>
      <c r="B2792" t="s">
        <v>14</v>
      </c>
      <c r="C2792">
        <v>7648876604</v>
      </c>
      <c r="D2792" s="2">
        <v>1</v>
      </c>
      <c r="E2792" t="str">
        <f>"4574674200783272"</f>
        <v>4574674200783272</v>
      </c>
      <c r="F2792" t="str">
        <f>"219"</f>
        <v>219</v>
      </c>
      <c r="G2792">
        <v>1</v>
      </c>
      <c r="H2792">
        <v>2023</v>
      </c>
      <c r="I2792" t="s">
        <v>2907</v>
      </c>
    </row>
    <row r="2793" spans="1:9" x14ac:dyDescent="0.3">
      <c r="A2793" t="s">
        <v>10122</v>
      </c>
      <c r="B2793" t="s">
        <v>14</v>
      </c>
      <c r="C2793">
        <v>7648876604</v>
      </c>
      <c r="D2793" s="2">
        <v>1</v>
      </c>
      <c r="E2793" t="str">
        <f>"4574674200783181"</f>
        <v>4574674200783181</v>
      </c>
      <c r="F2793" t="str">
        <f>"608"</f>
        <v>608</v>
      </c>
      <c r="G2793">
        <v>1</v>
      </c>
      <c r="H2793">
        <v>2023</v>
      </c>
      <c r="I2793" t="s">
        <v>2908</v>
      </c>
    </row>
    <row r="2794" spans="1:9" x14ac:dyDescent="0.3">
      <c r="A2794" t="s">
        <v>10122</v>
      </c>
      <c r="B2794" t="s">
        <v>14</v>
      </c>
      <c r="C2794">
        <v>7648876604</v>
      </c>
      <c r="D2794" s="2">
        <v>1</v>
      </c>
      <c r="E2794" t="str">
        <f>"4574674200783306"</f>
        <v>4574674200783306</v>
      </c>
      <c r="F2794" t="str">
        <f>"986"</f>
        <v>986</v>
      </c>
      <c r="G2794">
        <v>1</v>
      </c>
      <c r="H2794">
        <v>2023</v>
      </c>
      <c r="I2794" t="s">
        <v>2909</v>
      </c>
    </row>
    <row r="2795" spans="1:9" x14ac:dyDescent="0.3">
      <c r="A2795" t="s">
        <v>10122</v>
      </c>
      <c r="B2795" t="s">
        <v>14</v>
      </c>
      <c r="C2795">
        <v>7648876604</v>
      </c>
      <c r="D2795" s="2">
        <v>1</v>
      </c>
      <c r="E2795" t="str">
        <f>"4574674200783330"</f>
        <v>4574674200783330</v>
      </c>
      <c r="F2795" t="str">
        <f>"653"</f>
        <v>653</v>
      </c>
      <c r="G2795">
        <v>1</v>
      </c>
      <c r="H2795">
        <v>2023</v>
      </c>
      <c r="I2795" t="s">
        <v>2910</v>
      </c>
    </row>
    <row r="2796" spans="1:9" x14ac:dyDescent="0.3">
      <c r="A2796" t="s">
        <v>10122</v>
      </c>
      <c r="B2796" t="s">
        <v>14</v>
      </c>
      <c r="C2796">
        <v>7648876604</v>
      </c>
      <c r="D2796" s="2">
        <v>1</v>
      </c>
      <c r="E2796" t="str">
        <f>"4574674200783363"</f>
        <v>4574674200783363</v>
      </c>
      <c r="F2796" t="str">
        <f>"553"</f>
        <v>553</v>
      </c>
      <c r="G2796">
        <v>1</v>
      </c>
      <c r="H2796">
        <v>2023</v>
      </c>
      <c r="I2796" t="s">
        <v>2911</v>
      </c>
    </row>
    <row r="2797" spans="1:9" x14ac:dyDescent="0.3">
      <c r="A2797" t="s">
        <v>10122</v>
      </c>
      <c r="B2797" t="s">
        <v>14</v>
      </c>
      <c r="C2797">
        <v>7648876604</v>
      </c>
      <c r="D2797" s="2">
        <v>1</v>
      </c>
      <c r="E2797" t="str">
        <f>"4574674200783439"</f>
        <v>4574674200783439</v>
      </c>
      <c r="F2797" t="str">
        <f>"509"</f>
        <v>509</v>
      </c>
      <c r="G2797">
        <v>1</v>
      </c>
      <c r="H2797">
        <v>2023</v>
      </c>
      <c r="I2797" t="s">
        <v>2912</v>
      </c>
    </row>
    <row r="2798" spans="1:9" x14ac:dyDescent="0.3">
      <c r="A2798" t="s">
        <v>10122</v>
      </c>
      <c r="B2798" t="s">
        <v>14</v>
      </c>
      <c r="C2798">
        <v>7648876604</v>
      </c>
      <c r="D2798" s="2">
        <v>1</v>
      </c>
      <c r="E2798" t="str">
        <f>"4574674200783389"</f>
        <v>4574674200783389</v>
      </c>
      <c r="F2798" t="str">
        <f>"216"</f>
        <v>216</v>
      </c>
      <c r="G2798">
        <v>1</v>
      </c>
      <c r="H2798">
        <v>2023</v>
      </c>
      <c r="I2798" t="s">
        <v>2913</v>
      </c>
    </row>
    <row r="2799" spans="1:9" x14ac:dyDescent="0.3">
      <c r="A2799" t="s">
        <v>10122</v>
      </c>
      <c r="B2799" t="s">
        <v>14</v>
      </c>
      <c r="C2799">
        <v>7648876604</v>
      </c>
      <c r="D2799" s="2">
        <v>1</v>
      </c>
      <c r="E2799" t="str">
        <f>"4574674200783397"</f>
        <v>4574674200783397</v>
      </c>
      <c r="F2799" t="str">
        <f>"484"</f>
        <v>484</v>
      </c>
      <c r="G2799">
        <v>1</v>
      </c>
      <c r="H2799">
        <v>2023</v>
      </c>
      <c r="I2799" t="s">
        <v>2914</v>
      </c>
    </row>
    <row r="2800" spans="1:9" x14ac:dyDescent="0.3">
      <c r="A2800" t="s">
        <v>10123</v>
      </c>
      <c r="B2800" t="s">
        <v>15</v>
      </c>
      <c r="C2800">
        <v>7648876604</v>
      </c>
      <c r="D2800" s="2">
        <v>1</v>
      </c>
      <c r="E2800" t="str">
        <f>"4574674200783611"</f>
        <v>4574674200783611</v>
      </c>
      <c r="F2800" t="str">
        <f>"171"</f>
        <v>171</v>
      </c>
      <c r="G2800">
        <v>1</v>
      </c>
      <c r="H2800">
        <v>2023</v>
      </c>
      <c r="I2800" t="s">
        <v>2915</v>
      </c>
    </row>
    <row r="2801" spans="1:9" x14ac:dyDescent="0.3">
      <c r="A2801" t="s">
        <v>10123</v>
      </c>
      <c r="B2801" t="s">
        <v>15</v>
      </c>
      <c r="C2801">
        <v>7648876604</v>
      </c>
      <c r="D2801" s="2">
        <v>1</v>
      </c>
      <c r="E2801" t="str">
        <f>"4574674200783652"</f>
        <v>4574674200783652</v>
      </c>
      <c r="F2801" t="str">
        <f>"603"</f>
        <v>603</v>
      </c>
      <c r="G2801">
        <v>1</v>
      </c>
      <c r="H2801">
        <v>2023</v>
      </c>
      <c r="I2801" t="s">
        <v>2916</v>
      </c>
    </row>
    <row r="2802" spans="1:9" x14ac:dyDescent="0.3">
      <c r="A2802" t="s">
        <v>10123</v>
      </c>
      <c r="B2802" t="s">
        <v>15</v>
      </c>
      <c r="C2802">
        <v>7648876604</v>
      </c>
      <c r="D2802" s="2">
        <v>1</v>
      </c>
      <c r="E2802" t="str">
        <f>"4574674200783686"</f>
        <v>4574674200783686</v>
      </c>
      <c r="F2802" t="str">
        <f>"731"</f>
        <v>731</v>
      </c>
      <c r="G2802">
        <v>1</v>
      </c>
      <c r="H2802">
        <v>2023</v>
      </c>
      <c r="I2802" t="s">
        <v>2917</v>
      </c>
    </row>
    <row r="2803" spans="1:9" x14ac:dyDescent="0.3">
      <c r="A2803" t="s">
        <v>10123</v>
      </c>
      <c r="B2803" t="s">
        <v>15</v>
      </c>
      <c r="C2803">
        <v>7648876604</v>
      </c>
      <c r="D2803" s="2">
        <v>1</v>
      </c>
      <c r="E2803" t="str">
        <f>"4574674200783694"</f>
        <v>4574674200783694</v>
      </c>
      <c r="F2803" t="str">
        <f>"291"</f>
        <v>291</v>
      </c>
      <c r="G2803">
        <v>1</v>
      </c>
      <c r="H2803">
        <v>2023</v>
      </c>
      <c r="I2803" t="s">
        <v>2918</v>
      </c>
    </row>
    <row r="2804" spans="1:9" x14ac:dyDescent="0.3">
      <c r="A2804" t="s">
        <v>10123</v>
      </c>
      <c r="B2804" t="s">
        <v>15</v>
      </c>
      <c r="C2804">
        <v>7648876604</v>
      </c>
      <c r="D2804" s="2">
        <v>1</v>
      </c>
      <c r="E2804" t="str">
        <f>"4574674200783736"</f>
        <v>4574674200783736</v>
      </c>
      <c r="F2804" t="str">
        <f>"972"</f>
        <v>972</v>
      </c>
      <c r="G2804">
        <v>1</v>
      </c>
      <c r="H2804">
        <v>2023</v>
      </c>
      <c r="I2804" t="s">
        <v>2919</v>
      </c>
    </row>
    <row r="2805" spans="1:9" x14ac:dyDescent="0.3">
      <c r="A2805" t="s">
        <v>10123</v>
      </c>
      <c r="B2805" t="s">
        <v>15</v>
      </c>
      <c r="C2805">
        <v>7648876604</v>
      </c>
      <c r="D2805" s="2">
        <v>1</v>
      </c>
      <c r="E2805" t="str">
        <f>"4574674200783728"</f>
        <v>4574674200783728</v>
      </c>
      <c r="F2805" t="str">
        <f>"241"</f>
        <v>241</v>
      </c>
      <c r="G2805">
        <v>1</v>
      </c>
      <c r="H2805">
        <v>2023</v>
      </c>
      <c r="I2805" t="s">
        <v>2920</v>
      </c>
    </row>
    <row r="2806" spans="1:9" x14ac:dyDescent="0.3">
      <c r="A2806" t="s">
        <v>10123</v>
      </c>
      <c r="B2806" t="s">
        <v>15</v>
      </c>
      <c r="C2806">
        <v>7648876604</v>
      </c>
      <c r="D2806" s="2">
        <v>1</v>
      </c>
      <c r="E2806" t="str">
        <f>"4574674200783595"</f>
        <v>4574674200783595</v>
      </c>
      <c r="F2806" t="str">
        <f>"435"</f>
        <v>435</v>
      </c>
      <c r="G2806">
        <v>1</v>
      </c>
      <c r="H2806">
        <v>2023</v>
      </c>
      <c r="I2806" t="s">
        <v>2921</v>
      </c>
    </row>
    <row r="2807" spans="1:9" x14ac:dyDescent="0.3">
      <c r="A2807" t="s">
        <v>10123</v>
      </c>
      <c r="B2807" t="s">
        <v>15</v>
      </c>
      <c r="C2807">
        <v>7648876604</v>
      </c>
      <c r="D2807" s="2">
        <v>1</v>
      </c>
      <c r="E2807" t="str">
        <f>"4574674200783843"</f>
        <v>4574674200783843</v>
      </c>
      <c r="F2807" t="str">
        <f>"734"</f>
        <v>734</v>
      </c>
      <c r="G2807">
        <v>1</v>
      </c>
      <c r="H2807">
        <v>2023</v>
      </c>
      <c r="I2807" t="s">
        <v>2922</v>
      </c>
    </row>
    <row r="2808" spans="1:9" x14ac:dyDescent="0.3">
      <c r="A2808" t="s">
        <v>10123</v>
      </c>
      <c r="B2808" t="s">
        <v>15</v>
      </c>
      <c r="C2808">
        <v>7648876604</v>
      </c>
      <c r="D2808" s="2">
        <v>1</v>
      </c>
      <c r="E2808" t="str">
        <f>"4574674200783777"</f>
        <v>4574674200783777</v>
      </c>
      <c r="F2808" t="str">
        <f>"756"</f>
        <v>756</v>
      </c>
      <c r="G2808">
        <v>1</v>
      </c>
      <c r="H2808">
        <v>2023</v>
      </c>
      <c r="I2808" t="s">
        <v>2923</v>
      </c>
    </row>
    <row r="2809" spans="1:9" x14ac:dyDescent="0.3">
      <c r="A2809" t="s">
        <v>10123</v>
      </c>
      <c r="B2809" t="s">
        <v>15</v>
      </c>
      <c r="C2809">
        <v>7648876604</v>
      </c>
      <c r="D2809" s="2">
        <v>1</v>
      </c>
      <c r="E2809" t="str">
        <f>"4574674200784007"</f>
        <v>4574674200784007</v>
      </c>
      <c r="F2809" t="str">
        <f>"970"</f>
        <v>970</v>
      </c>
      <c r="G2809">
        <v>1</v>
      </c>
      <c r="H2809">
        <v>2023</v>
      </c>
      <c r="I2809" t="s">
        <v>2924</v>
      </c>
    </row>
    <row r="2810" spans="1:9" x14ac:dyDescent="0.3">
      <c r="A2810" t="s">
        <v>10124</v>
      </c>
      <c r="B2810" t="s">
        <v>16</v>
      </c>
      <c r="C2810">
        <v>7648876604</v>
      </c>
      <c r="D2810" s="2">
        <v>1</v>
      </c>
      <c r="E2810" t="str">
        <f>"4574674200784015"</f>
        <v>4574674200784015</v>
      </c>
      <c r="F2810" t="str">
        <f>"723"</f>
        <v>723</v>
      </c>
      <c r="G2810">
        <v>1</v>
      </c>
      <c r="H2810">
        <v>2023</v>
      </c>
      <c r="I2810" t="s">
        <v>2925</v>
      </c>
    </row>
    <row r="2811" spans="1:9" x14ac:dyDescent="0.3">
      <c r="A2811" t="s">
        <v>10124</v>
      </c>
      <c r="B2811" t="s">
        <v>16</v>
      </c>
      <c r="C2811">
        <v>7648876604</v>
      </c>
      <c r="D2811" s="2">
        <v>1</v>
      </c>
      <c r="E2811" t="str">
        <f>"4574674200784049"</f>
        <v>4574674200784049</v>
      </c>
      <c r="F2811" t="str">
        <f>"612"</f>
        <v>612</v>
      </c>
      <c r="G2811">
        <v>1</v>
      </c>
      <c r="H2811">
        <v>2023</v>
      </c>
      <c r="I2811" t="s">
        <v>2926</v>
      </c>
    </row>
    <row r="2812" spans="1:9" x14ac:dyDescent="0.3">
      <c r="A2812" t="s">
        <v>10124</v>
      </c>
      <c r="B2812" t="s">
        <v>16</v>
      </c>
      <c r="C2812">
        <v>7648876604</v>
      </c>
      <c r="D2812" s="2">
        <v>1</v>
      </c>
      <c r="E2812" t="str">
        <f>"4574674200783991"</f>
        <v>4574674200783991</v>
      </c>
      <c r="F2812" t="str">
        <f>"428"</f>
        <v>428</v>
      </c>
      <c r="G2812">
        <v>1</v>
      </c>
      <c r="H2812">
        <v>2023</v>
      </c>
      <c r="I2812" t="s">
        <v>2927</v>
      </c>
    </row>
    <row r="2813" spans="1:9" x14ac:dyDescent="0.3">
      <c r="A2813" t="s">
        <v>10124</v>
      </c>
      <c r="B2813" t="s">
        <v>16</v>
      </c>
      <c r="C2813">
        <v>7648876604</v>
      </c>
      <c r="D2813" s="2">
        <v>1</v>
      </c>
      <c r="E2813" t="str">
        <f>"4574674200783983"</f>
        <v>4574674200783983</v>
      </c>
      <c r="F2813" t="str">
        <f>"886"</f>
        <v>886</v>
      </c>
      <c r="G2813">
        <v>1</v>
      </c>
      <c r="H2813">
        <v>2023</v>
      </c>
      <c r="I2813" t="s">
        <v>2928</v>
      </c>
    </row>
    <row r="2814" spans="1:9" x14ac:dyDescent="0.3">
      <c r="A2814" t="s">
        <v>10124</v>
      </c>
      <c r="B2814" t="s">
        <v>16</v>
      </c>
      <c r="C2814">
        <v>7648876604</v>
      </c>
      <c r="D2814" s="2">
        <v>1</v>
      </c>
      <c r="E2814" t="str">
        <f>"4574674200784056"</f>
        <v>4574674200784056</v>
      </c>
      <c r="F2814" t="str">
        <f>"128"</f>
        <v>128</v>
      </c>
      <c r="G2814">
        <v>1</v>
      </c>
      <c r="H2814">
        <v>2023</v>
      </c>
      <c r="I2814" t="s">
        <v>2929</v>
      </c>
    </row>
    <row r="2815" spans="1:9" x14ac:dyDescent="0.3">
      <c r="A2815" t="s">
        <v>10124</v>
      </c>
      <c r="B2815" t="s">
        <v>16</v>
      </c>
      <c r="C2815">
        <v>7648876604</v>
      </c>
      <c r="D2815" s="2">
        <v>1</v>
      </c>
      <c r="E2815" t="str">
        <f>"4574674200784072"</f>
        <v>4574674200784072</v>
      </c>
      <c r="F2815" t="str">
        <f>"823"</f>
        <v>823</v>
      </c>
      <c r="G2815">
        <v>1</v>
      </c>
      <c r="H2815">
        <v>2023</v>
      </c>
      <c r="I2815" t="s">
        <v>2930</v>
      </c>
    </row>
    <row r="2816" spans="1:9" x14ac:dyDescent="0.3">
      <c r="A2816" t="s">
        <v>10124</v>
      </c>
      <c r="B2816" t="s">
        <v>16</v>
      </c>
      <c r="C2816">
        <v>7648876604</v>
      </c>
      <c r="D2816" s="2">
        <v>1</v>
      </c>
      <c r="E2816" t="str">
        <f>"4574674200784114"</f>
        <v>4574674200784114</v>
      </c>
      <c r="F2816" t="str">
        <f>"222"</f>
        <v>222</v>
      </c>
      <c r="G2816">
        <v>1</v>
      </c>
      <c r="H2816">
        <v>2023</v>
      </c>
      <c r="I2816" t="s">
        <v>2931</v>
      </c>
    </row>
    <row r="2817" spans="1:9" x14ac:dyDescent="0.3">
      <c r="A2817" t="s">
        <v>10124</v>
      </c>
      <c r="B2817" t="s">
        <v>16</v>
      </c>
      <c r="C2817">
        <v>7648876604</v>
      </c>
      <c r="D2817" s="2">
        <v>1</v>
      </c>
      <c r="E2817" t="str">
        <f>"4574674200784122"</f>
        <v>4574674200784122</v>
      </c>
      <c r="F2817" t="str">
        <f>"548"</f>
        <v>548</v>
      </c>
      <c r="G2817">
        <v>1</v>
      </c>
      <c r="H2817">
        <v>2023</v>
      </c>
      <c r="I2817" t="s">
        <v>2932</v>
      </c>
    </row>
    <row r="2818" spans="1:9" x14ac:dyDescent="0.3">
      <c r="A2818" t="s">
        <v>10124</v>
      </c>
      <c r="B2818" t="s">
        <v>16</v>
      </c>
      <c r="C2818">
        <v>7648876604</v>
      </c>
      <c r="D2818" s="2">
        <v>1</v>
      </c>
      <c r="E2818" t="str">
        <f>"4574674200784346"</f>
        <v>4574674200784346</v>
      </c>
      <c r="F2818" t="str">
        <f>"069"</f>
        <v>069</v>
      </c>
      <c r="G2818">
        <v>1</v>
      </c>
      <c r="H2818">
        <v>2023</v>
      </c>
      <c r="I2818" t="s">
        <v>2933</v>
      </c>
    </row>
    <row r="2819" spans="1:9" x14ac:dyDescent="0.3">
      <c r="A2819" t="s">
        <v>10124</v>
      </c>
      <c r="B2819" t="s">
        <v>16</v>
      </c>
      <c r="C2819">
        <v>7648876604</v>
      </c>
      <c r="D2819" s="2">
        <v>1</v>
      </c>
      <c r="E2819" t="str">
        <f>"4574674200784163"</f>
        <v>4574674200784163</v>
      </c>
      <c r="F2819" t="str">
        <f>"509"</f>
        <v>509</v>
      </c>
      <c r="G2819">
        <v>1</v>
      </c>
      <c r="H2819">
        <v>2023</v>
      </c>
      <c r="I2819" t="s">
        <v>2934</v>
      </c>
    </row>
    <row r="2820" spans="1:9" x14ac:dyDescent="0.3">
      <c r="A2820" t="s">
        <v>10125</v>
      </c>
      <c r="B2820" t="s">
        <v>17</v>
      </c>
      <c r="C2820">
        <v>7648876604</v>
      </c>
      <c r="D2820" s="2">
        <v>1</v>
      </c>
      <c r="E2820" t="str">
        <f>"4574674200784403"</f>
        <v>4574674200784403</v>
      </c>
      <c r="F2820" t="str">
        <f>"679"</f>
        <v>679</v>
      </c>
      <c r="G2820">
        <v>1</v>
      </c>
      <c r="H2820">
        <v>2023</v>
      </c>
      <c r="I2820" t="s">
        <v>2935</v>
      </c>
    </row>
    <row r="2821" spans="1:9" x14ac:dyDescent="0.3">
      <c r="A2821" t="s">
        <v>10125</v>
      </c>
      <c r="B2821" t="s">
        <v>17</v>
      </c>
      <c r="C2821">
        <v>7648876604</v>
      </c>
      <c r="D2821" s="2">
        <v>1</v>
      </c>
      <c r="E2821" t="str">
        <f>"4574674200784189"</f>
        <v>4574674200784189</v>
      </c>
      <c r="F2821" t="str">
        <f>"802"</f>
        <v>802</v>
      </c>
      <c r="G2821">
        <v>1</v>
      </c>
      <c r="H2821">
        <v>2023</v>
      </c>
      <c r="I2821" t="s">
        <v>2936</v>
      </c>
    </row>
    <row r="2822" spans="1:9" x14ac:dyDescent="0.3">
      <c r="A2822" t="s">
        <v>10125</v>
      </c>
      <c r="B2822" t="s">
        <v>17</v>
      </c>
      <c r="C2822">
        <v>7648876604</v>
      </c>
      <c r="D2822" s="2">
        <v>1</v>
      </c>
      <c r="E2822" t="str">
        <f>"4574674200784619"</f>
        <v>4574674200784619</v>
      </c>
      <c r="F2822" t="str">
        <f>"057"</f>
        <v>057</v>
      </c>
      <c r="G2822">
        <v>1</v>
      </c>
      <c r="H2822">
        <v>2023</v>
      </c>
      <c r="I2822" t="s">
        <v>2937</v>
      </c>
    </row>
    <row r="2823" spans="1:9" x14ac:dyDescent="0.3">
      <c r="A2823" t="s">
        <v>10125</v>
      </c>
      <c r="B2823" t="s">
        <v>17</v>
      </c>
      <c r="C2823">
        <v>7648876604</v>
      </c>
      <c r="D2823" s="2">
        <v>1</v>
      </c>
      <c r="E2823" t="str">
        <f>"4574674200784627"</f>
        <v>4574674200784627</v>
      </c>
      <c r="F2823" t="str">
        <f>"818"</f>
        <v>818</v>
      </c>
      <c r="G2823">
        <v>1</v>
      </c>
      <c r="H2823">
        <v>2023</v>
      </c>
      <c r="I2823" t="s">
        <v>2938</v>
      </c>
    </row>
    <row r="2824" spans="1:9" x14ac:dyDescent="0.3">
      <c r="A2824" t="s">
        <v>10125</v>
      </c>
      <c r="B2824" t="s">
        <v>17</v>
      </c>
      <c r="C2824">
        <v>7648876604</v>
      </c>
      <c r="D2824" s="2">
        <v>1</v>
      </c>
      <c r="E2824" t="str">
        <f>"4574674200784643"</f>
        <v>4574674200784643</v>
      </c>
      <c r="F2824" t="str">
        <f>"044"</f>
        <v>044</v>
      </c>
      <c r="G2824">
        <v>1</v>
      </c>
      <c r="H2824">
        <v>2023</v>
      </c>
      <c r="I2824" t="s">
        <v>2939</v>
      </c>
    </row>
    <row r="2825" spans="1:9" x14ac:dyDescent="0.3">
      <c r="A2825" t="s">
        <v>10125</v>
      </c>
      <c r="B2825" t="s">
        <v>17</v>
      </c>
      <c r="C2825">
        <v>7648876604</v>
      </c>
      <c r="D2825" s="2">
        <v>1</v>
      </c>
      <c r="E2825" t="str">
        <f>"4574674200784551"</f>
        <v>4574674200784551</v>
      </c>
      <c r="F2825" t="str">
        <f>"025"</f>
        <v>025</v>
      </c>
      <c r="G2825">
        <v>1</v>
      </c>
      <c r="H2825">
        <v>2023</v>
      </c>
      <c r="I2825" t="s">
        <v>2940</v>
      </c>
    </row>
    <row r="2826" spans="1:9" x14ac:dyDescent="0.3">
      <c r="A2826" t="s">
        <v>10125</v>
      </c>
      <c r="B2826" t="s">
        <v>17</v>
      </c>
      <c r="C2826">
        <v>7648876604</v>
      </c>
      <c r="D2826" s="2">
        <v>1</v>
      </c>
      <c r="E2826" t="str">
        <f>"4574674200784676"</f>
        <v>4574674200784676</v>
      </c>
      <c r="F2826" t="str">
        <f>"225"</f>
        <v>225</v>
      </c>
      <c r="G2826">
        <v>1</v>
      </c>
      <c r="H2826">
        <v>2023</v>
      </c>
      <c r="I2826" t="s">
        <v>2941</v>
      </c>
    </row>
    <row r="2827" spans="1:9" x14ac:dyDescent="0.3">
      <c r="A2827" t="s">
        <v>10125</v>
      </c>
      <c r="B2827" t="s">
        <v>17</v>
      </c>
      <c r="C2827">
        <v>7648876604</v>
      </c>
      <c r="D2827" s="2">
        <v>1</v>
      </c>
      <c r="E2827" t="str">
        <f>"4574674200784569"</f>
        <v>4574674200784569</v>
      </c>
      <c r="F2827" t="str">
        <f>"485"</f>
        <v>485</v>
      </c>
      <c r="G2827">
        <v>1</v>
      </c>
      <c r="H2827">
        <v>2023</v>
      </c>
      <c r="I2827" t="s">
        <v>2942</v>
      </c>
    </row>
    <row r="2828" spans="1:9" x14ac:dyDescent="0.3">
      <c r="A2828" t="s">
        <v>10125</v>
      </c>
      <c r="B2828" t="s">
        <v>17</v>
      </c>
      <c r="C2828">
        <v>7648876604</v>
      </c>
      <c r="D2828" s="2">
        <v>1</v>
      </c>
      <c r="E2828" t="str">
        <f>"4574674200784718"</f>
        <v>4574674200784718</v>
      </c>
      <c r="F2828" t="str">
        <f>"058"</f>
        <v>058</v>
      </c>
      <c r="G2828">
        <v>1</v>
      </c>
      <c r="H2828">
        <v>2023</v>
      </c>
      <c r="I2828" t="s">
        <v>2943</v>
      </c>
    </row>
    <row r="2829" spans="1:9" x14ac:dyDescent="0.3">
      <c r="A2829" t="s">
        <v>10125</v>
      </c>
      <c r="B2829" t="s">
        <v>17</v>
      </c>
      <c r="C2829">
        <v>7648876604</v>
      </c>
      <c r="D2829" s="2">
        <v>1</v>
      </c>
      <c r="E2829" t="str">
        <f>"4574674200784734"</f>
        <v>4574674200784734</v>
      </c>
      <c r="F2829" t="str">
        <f>"375"</f>
        <v>375</v>
      </c>
      <c r="G2829">
        <v>1</v>
      </c>
      <c r="H2829">
        <v>2023</v>
      </c>
      <c r="I2829" t="s">
        <v>2944</v>
      </c>
    </row>
    <row r="2830" spans="1:9" x14ac:dyDescent="0.3">
      <c r="A2830" t="s">
        <v>10126</v>
      </c>
      <c r="B2830" t="s">
        <v>18</v>
      </c>
      <c r="C2830">
        <v>7648876604</v>
      </c>
      <c r="D2830" s="2">
        <v>1</v>
      </c>
      <c r="E2830" t="str">
        <f>"4574674200784759"</f>
        <v>4574674200784759</v>
      </c>
      <c r="F2830" t="str">
        <f>"324"</f>
        <v>324</v>
      </c>
      <c r="G2830">
        <v>1</v>
      </c>
      <c r="H2830">
        <v>2023</v>
      </c>
      <c r="I2830" t="s">
        <v>2945</v>
      </c>
    </row>
    <row r="2831" spans="1:9" x14ac:dyDescent="0.3">
      <c r="A2831" t="s">
        <v>10126</v>
      </c>
      <c r="B2831" t="s">
        <v>18</v>
      </c>
      <c r="C2831">
        <v>7648876604</v>
      </c>
      <c r="D2831" s="2">
        <v>1</v>
      </c>
      <c r="E2831" t="str">
        <f>"4574674200784775"</f>
        <v>4574674200784775</v>
      </c>
      <c r="F2831" t="str">
        <f>"104"</f>
        <v>104</v>
      </c>
      <c r="G2831">
        <v>1</v>
      </c>
      <c r="H2831">
        <v>2023</v>
      </c>
      <c r="I2831" t="s">
        <v>2946</v>
      </c>
    </row>
    <row r="2832" spans="1:9" x14ac:dyDescent="0.3">
      <c r="A2832" t="s">
        <v>10126</v>
      </c>
      <c r="B2832" t="s">
        <v>18</v>
      </c>
      <c r="C2832">
        <v>7648876604</v>
      </c>
      <c r="D2832" s="2">
        <v>1</v>
      </c>
      <c r="E2832" t="str">
        <f>"4574674200784783"</f>
        <v>4574674200784783</v>
      </c>
      <c r="F2832" t="str">
        <f>"293"</f>
        <v>293</v>
      </c>
      <c r="G2832">
        <v>1</v>
      </c>
      <c r="H2832">
        <v>2023</v>
      </c>
      <c r="I2832" t="s">
        <v>2947</v>
      </c>
    </row>
    <row r="2833" spans="1:9" x14ac:dyDescent="0.3">
      <c r="A2833" t="s">
        <v>10126</v>
      </c>
      <c r="B2833" t="s">
        <v>18</v>
      </c>
      <c r="C2833">
        <v>7648876604</v>
      </c>
      <c r="D2833" s="2">
        <v>1</v>
      </c>
      <c r="E2833" t="str">
        <f>"4574674200785004"</f>
        <v>4574674200785004</v>
      </c>
      <c r="F2833" t="str">
        <f>"120"</f>
        <v>120</v>
      </c>
      <c r="G2833">
        <v>1</v>
      </c>
      <c r="H2833">
        <v>2023</v>
      </c>
      <c r="I2833" t="s">
        <v>2948</v>
      </c>
    </row>
    <row r="2834" spans="1:9" x14ac:dyDescent="0.3">
      <c r="A2834" t="s">
        <v>10126</v>
      </c>
      <c r="B2834" t="s">
        <v>18</v>
      </c>
      <c r="C2834">
        <v>7648876604</v>
      </c>
      <c r="D2834" s="2">
        <v>1</v>
      </c>
      <c r="E2834" t="str">
        <f>"4574674200785046"</f>
        <v>4574674200785046</v>
      </c>
      <c r="F2834" t="str">
        <f>"678"</f>
        <v>678</v>
      </c>
      <c r="G2834">
        <v>1</v>
      </c>
      <c r="H2834">
        <v>2023</v>
      </c>
      <c r="I2834" t="s">
        <v>2949</v>
      </c>
    </row>
    <row r="2835" spans="1:9" x14ac:dyDescent="0.3">
      <c r="A2835" t="s">
        <v>10126</v>
      </c>
      <c r="B2835" t="s">
        <v>18</v>
      </c>
      <c r="C2835">
        <v>7648876604</v>
      </c>
      <c r="D2835" s="2">
        <v>1</v>
      </c>
      <c r="E2835" t="str">
        <f>"4574674200784940"</f>
        <v>4574674200784940</v>
      </c>
      <c r="F2835" t="str">
        <f>"797"</f>
        <v>797</v>
      </c>
      <c r="G2835">
        <v>1</v>
      </c>
      <c r="H2835">
        <v>2023</v>
      </c>
      <c r="I2835" t="s">
        <v>2950</v>
      </c>
    </row>
    <row r="2836" spans="1:9" x14ac:dyDescent="0.3">
      <c r="A2836" t="s">
        <v>10126</v>
      </c>
      <c r="B2836" t="s">
        <v>18</v>
      </c>
      <c r="C2836">
        <v>7648876604</v>
      </c>
      <c r="D2836" s="2">
        <v>1</v>
      </c>
      <c r="E2836" t="str">
        <f>"4574674200785079"</f>
        <v>4574674200785079</v>
      </c>
      <c r="F2836" t="str">
        <f>"919"</f>
        <v>919</v>
      </c>
      <c r="G2836">
        <v>1</v>
      </c>
      <c r="H2836">
        <v>2023</v>
      </c>
      <c r="I2836" t="s">
        <v>2951</v>
      </c>
    </row>
    <row r="2837" spans="1:9" x14ac:dyDescent="0.3">
      <c r="A2837" t="s">
        <v>10126</v>
      </c>
      <c r="B2837" t="s">
        <v>18</v>
      </c>
      <c r="C2837">
        <v>7648876604</v>
      </c>
      <c r="D2837" s="2">
        <v>1</v>
      </c>
      <c r="E2837" t="str">
        <f>"4574674200785087"</f>
        <v>4574674200785087</v>
      </c>
      <c r="F2837" t="str">
        <f>"192"</f>
        <v>192</v>
      </c>
      <c r="G2837">
        <v>1</v>
      </c>
      <c r="H2837">
        <v>2023</v>
      </c>
      <c r="I2837" t="s">
        <v>2952</v>
      </c>
    </row>
    <row r="2838" spans="1:9" x14ac:dyDescent="0.3">
      <c r="A2838" t="s">
        <v>10126</v>
      </c>
      <c r="B2838" t="s">
        <v>18</v>
      </c>
      <c r="C2838">
        <v>7648876604</v>
      </c>
      <c r="D2838" s="2">
        <v>1</v>
      </c>
      <c r="E2838" t="str">
        <f>"4574674200785095"</f>
        <v>4574674200785095</v>
      </c>
      <c r="F2838" t="str">
        <f>"770"</f>
        <v>770</v>
      </c>
      <c r="G2838">
        <v>1</v>
      </c>
      <c r="H2838">
        <v>2023</v>
      </c>
      <c r="I2838" t="s">
        <v>2953</v>
      </c>
    </row>
    <row r="2839" spans="1:9" x14ac:dyDescent="0.3">
      <c r="A2839" t="s">
        <v>10126</v>
      </c>
      <c r="B2839" t="s">
        <v>18</v>
      </c>
      <c r="C2839">
        <v>7648876604</v>
      </c>
      <c r="D2839" s="2">
        <v>1</v>
      </c>
      <c r="E2839" t="str">
        <f>"4574674200785129"</f>
        <v>4574674200785129</v>
      </c>
      <c r="F2839" t="str">
        <f>"192"</f>
        <v>192</v>
      </c>
      <c r="G2839">
        <v>1</v>
      </c>
      <c r="H2839">
        <v>2023</v>
      </c>
      <c r="I2839" t="s">
        <v>2954</v>
      </c>
    </row>
    <row r="2840" spans="1:9" x14ac:dyDescent="0.3">
      <c r="A2840" t="s">
        <v>10127</v>
      </c>
      <c r="B2840" t="s">
        <v>19</v>
      </c>
      <c r="C2840">
        <v>7648876604</v>
      </c>
      <c r="D2840" s="2">
        <v>1</v>
      </c>
      <c r="E2840" t="str">
        <f>"4574674200785160"</f>
        <v>4574674200785160</v>
      </c>
      <c r="F2840" t="str">
        <f>"652"</f>
        <v>652</v>
      </c>
      <c r="G2840">
        <v>1</v>
      </c>
      <c r="H2840">
        <v>2023</v>
      </c>
      <c r="I2840" t="s">
        <v>2955</v>
      </c>
    </row>
    <row r="2841" spans="1:9" x14ac:dyDescent="0.3">
      <c r="A2841" t="s">
        <v>10127</v>
      </c>
      <c r="B2841" t="s">
        <v>19</v>
      </c>
      <c r="C2841">
        <v>7648876604</v>
      </c>
      <c r="D2841" s="2">
        <v>1</v>
      </c>
      <c r="E2841" t="str">
        <f>"4574674200785194"</f>
        <v>4574674200785194</v>
      </c>
      <c r="F2841" t="str">
        <f>"339"</f>
        <v>339</v>
      </c>
      <c r="G2841">
        <v>1</v>
      </c>
      <c r="H2841">
        <v>2023</v>
      </c>
      <c r="I2841" t="s">
        <v>2956</v>
      </c>
    </row>
    <row r="2842" spans="1:9" x14ac:dyDescent="0.3">
      <c r="A2842" t="s">
        <v>10127</v>
      </c>
      <c r="B2842" t="s">
        <v>19</v>
      </c>
      <c r="C2842">
        <v>7648876604</v>
      </c>
      <c r="D2842" s="2">
        <v>1</v>
      </c>
      <c r="E2842" t="str">
        <f>"4574674200785400"</f>
        <v>4574674200785400</v>
      </c>
      <c r="F2842" t="str">
        <f>"686"</f>
        <v>686</v>
      </c>
      <c r="G2842">
        <v>1</v>
      </c>
      <c r="H2842">
        <v>2023</v>
      </c>
      <c r="I2842" t="s">
        <v>2957</v>
      </c>
    </row>
    <row r="2843" spans="1:9" x14ac:dyDescent="0.3">
      <c r="A2843" t="s">
        <v>10127</v>
      </c>
      <c r="B2843" t="s">
        <v>19</v>
      </c>
      <c r="C2843">
        <v>7648876604</v>
      </c>
      <c r="D2843" s="2">
        <v>1</v>
      </c>
      <c r="E2843" t="str">
        <f>"4574674200785418"</f>
        <v>4574674200785418</v>
      </c>
      <c r="F2843" t="str">
        <f>"329"</f>
        <v>329</v>
      </c>
      <c r="G2843">
        <v>1</v>
      </c>
      <c r="H2843">
        <v>2023</v>
      </c>
      <c r="I2843" t="s">
        <v>2958</v>
      </c>
    </row>
    <row r="2844" spans="1:9" x14ac:dyDescent="0.3">
      <c r="A2844" t="s">
        <v>10127</v>
      </c>
      <c r="B2844" t="s">
        <v>19</v>
      </c>
      <c r="C2844">
        <v>7648876604</v>
      </c>
      <c r="D2844" s="2">
        <v>1</v>
      </c>
      <c r="E2844" t="str">
        <f>"4574674200785442"</f>
        <v>4574674200785442</v>
      </c>
      <c r="F2844" t="str">
        <f>"683"</f>
        <v>683</v>
      </c>
      <c r="G2844">
        <v>1</v>
      </c>
      <c r="H2844">
        <v>2023</v>
      </c>
      <c r="I2844" t="s">
        <v>2959</v>
      </c>
    </row>
    <row r="2845" spans="1:9" x14ac:dyDescent="0.3">
      <c r="A2845" t="s">
        <v>10127</v>
      </c>
      <c r="B2845" t="s">
        <v>19</v>
      </c>
      <c r="C2845">
        <v>7648876604</v>
      </c>
      <c r="D2845" s="2">
        <v>1</v>
      </c>
      <c r="E2845" t="str">
        <f>"4574674200785350"</f>
        <v>4574674200785350</v>
      </c>
      <c r="F2845" t="str">
        <f>"500"</f>
        <v>500</v>
      </c>
      <c r="G2845">
        <v>1</v>
      </c>
      <c r="H2845">
        <v>2023</v>
      </c>
      <c r="I2845" t="s">
        <v>2960</v>
      </c>
    </row>
    <row r="2846" spans="1:9" x14ac:dyDescent="0.3">
      <c r="A2846" t="s">
        <v>10127</v>
      </c>
      <c r="B2846" t="s">
        <v>19</v>
      </c>
      <c r="C2846">
        <v>7648876604</v>
      </c>
      <c r="D2846" s="2">
        <v>1</v>
      </c>
      <c r="E2846" t="str">
        <f>"4574674200785715"</f>
        <v>4574674200785715</v>
      </c>
      <c r="F2846" t="str">
        <f>"789"</f>
        <v>789</v>
      </c>
      <c r="G2846">
        <v>1</v>
      </c>
      <c r="H2846">
        <v>2023</v>
      </c>
      <c r="I2846" t="s">
        <v>2961</v>
      </c>
    </row>
    <row r="2847" spans="1:9" x14ac:dyDescent="0.3">
      <c r="A2847" t="s">
        <v>10127</v>
      </c>
      <c r="B2847" t="s">
        <v>19</v>
      </c>
      <c r="C2847">
        <v>7648876604</v>
      </c>
      <c r="D2847" s="2">
        <v>1</v>
      </c>
      <c r="E2847" t="str">
        <f>"4574674200785731"</f>
        <v>4574674200785731</v>
      </c>
      <c r="F2847" t="str">
        <f>"805"</f>
        <v>805</v>
      </c>
      <c r="G2847">
        <v>1</v>
      </c>
      <c r="H2847">
        <v>2023</v>
      </c>
      <c r="I2847" t="s">
        <v>2962</v>
      </c>
    </row>
    <row r="2848" spans="1:9" x14ac:dyDescent="0.3">
      <c r="A2848" t="s">
        <v>10127</v>
      </c>
      <c r="B2848" t="s">
        <v>19</v>
      </c>
      <c r="C2848">
        <v>7648876604</v>
      </c>
      <c r="D2848" s="2">
        <v>1</v>
      </c>
      <c r="E2848" t="str">
        <f>"4574674200785483"</f>
        <v>4574674200785483</v>
      </c>
      <c r="F2848" t="str">
        <f>"031"</f>
        <v>031</v>
      </c>
      <c r="G2848">
        <v>1</v>
      </c>
      <c r="H2848">
        <v>2023</v>
      </c>
      <c r="I2848" t="s">
        <v>2963</v>
      </c>
    </row>
    <row r="2849" spans="1:9" x14ac:dyDescent="0.3">
      <c r="A2849" t="s">
        <v>10127</v>
      </c>
      <c r="B2849" t="s">
        <v>19</v>
      </c>
      <c r="C2849">
        <v>7648876604</v>
      </c>
      <c r="D2849" s="2">
        <v>1</v>
      </c>
      <c r="E2849" t="str">
        <f>"4574674200785509"</f>
        <v>4574674200785509</v>
      </c>
      <c r="F2849" t="str">
        <f>"817"</f>
        <v>817</v>
      </c>
      <c r="G2849">
        <v>1</v>
      </c>
      <c r="H2849">
        <v>2023</v>
      </c>
      <c r="I2849" t="s">
        <v>2964</v>
      </c>
    </row>
    <row r="2850" spans="1:9" x14ac:dyDescent="0.3">
      <c r="A2850" t="s">
        <v>10128</v>
      </c>
      <c r="B2850" t="s">
        <v>20</v>
      </c>
      <c r="C2850">
        <v>7648876604</v>
      </c>
      <c r="D2850" s="2">
        <v>1</v>
      </c>
      <c r="E2850" t="str">
        <f>"4574674200785517"</f>
        <v>4574674200785517</v>
      </c>
      <c r="F2850" t="str">
        <f>"064"</f>
        <v>064</v>
      </c>
      <c r="G2850">
        <v>1</v>
      </c>
      <c r="H2850">
        <v>2023</v>
      </c>
      <c r="I2850" t="s">
        <v>2965</v>
      </c>
    </row>
    <row r="2851" spans="1:9" x14ac:dyDescent="0.3">
      <c r="A2851" t="s">
        <v>10128</v>
      </c>
      <c r="B2851" t="s">
        <v>20</v>
      </c>
      <c r="C2851">
        <v>7648876604</v>
      </c>
      <c r="D2851" s="2">
        <v>1</v>
      </c>
      <c r="E2851" t="str">
        <f>"4574674200785525"</f>
        <v>4574674200785525</v>
      </c>
      <c r="F2851" t="str">
        <f>"787"</f>
        <v>787</v>
      </c>
      <c r="G2851">
        <v>1</v>
      </c>
      <c r="H2851">
        <v>2023</v>
      </c>
      <c r="I2851" t="s">
        <v>2966</v>
      </c>
    </row>
    <row r="2852" spans="1:9" x14ac:dyDescent="0.3">
      <c r="A2852" t="s">
        <v>10128</v>
      </c>
      <c r="B2852" t="s">
        <v>20</v>
      </c>
      <c r="C2852">
        <v>7648876604</v>
      </c>
      <c r="D2852" s="2">
        <v>1</v>
      </c>
      <c r="E2852" t="str">
        <f>"4574674200785558"</f>
        <v>4574674200785558</v>
      </c>
      <c r="F2852" t="str">
        <f>"484"</f>
        <v>484</v>
      </c>
      <c r="G2852">
        <v>1</v>
      </c>
      <c r="H2852">
        <v>2023</v>
      </c>
      <c r="I2852" t="s">
        <v>2967</v>
      </c>
    </row>
    <row r="2853" spans="1:9" x14ac:dyDescent="0.3">
      <c r="A2853" t="s">
        <v>10128</v>
      </c>
      <c r="B2853" t="s">
        <v>20</v>
      </c>
      <c r="C2853">
        <v>7648876604</v>
      </c>
      <c r="D2853" s="2">
        <v>1</v>
      </c>
      <c r="E2853" t="str">
        <f>"4574674200785897"</f>
        <v>4574674200785897</v>
      </c>
      <c r="F2853" t="str">
        <f>"374"</f>
        <v>374</v>
      </c>
      <c r="G2853">
        <v>1</v>
      </c>
      <c r="H2853">
        <v>2023</v>
      </c>
      <c r="I2853" t="s">
        <v>2968</v>
      </c>
    </row>
    <row r="2854" spans="1:9" x14ac:dyDescent="0.3">
      <c r="A2854" t="s">
        <v>10128</v>
      </c>
      <c r="B2854" t="s">
        <v>20</v>
      </c>
      <c r="C2854">
        <v>7648876604</v>
      </c>
      <c r="D2854" s="2">
        <v>1</v>
      </c>
      <c r="E2854" t="str">
        <f>"4574674200785855"</f>
        <v>4574674200785855</v>
      </c>
      <c r="F2854" t="str">
        <f>"975"</f>
        <v>975</v>
      </c>
      <c r="G2854">
        <v>1</v>
      </c>
      <c r="H2854">
        <v>2023</v>
      </c>
      <c r="I2854" t="s">
        <v>2969</v>
      </c>
    </row>
    <row r="2855" spans="1:9" x14ac:dyDescent="0.3">
      <c r="A2855" t="s">
        <v>10128</v>
      </c>
      <c r="B2855" t="s">
        <v>20</v>
      </c>
      <c r="C2855">
        <v>7648876604</v>
      </c>
      <c r="D2855" s="2">
        <v>1</v>
      </c>
      <c r="E2855" t="str">
        <f>"4574674200785947"</f>
        <v>4574674200785947</v>
      </c>
      <c r="F2855" t="str">
        <f>"098"</f>
        <v>098</v>
      </c>
      <c r="G2855">
        <v>1</v>
      </c>
      <c r="H2855">
        <v>2023</v>
      </c>
      <c r="I2855" t="s">
        <v>2970</v>
      </c>
    </row>
    <row r="2856" spans="1:9" x14ac:dyDescent="0.3">
      <c r="A2856" t="s">
        <v>10128</v>
      </c>
      <c r="B2856" t="s">
        <v>20</v>
      </c>
      <c r="C2856">
        <v>7648876604</v>
      </c>
      <c r="D2856" s="2">
        <v>1</v>
      </c>
      <c r="E2856" t="str">
        <f>"4574674200786234"</f>
        <v>4574674200786234</v>
      </c>
      <c r="F2856" t="str">
        <f>"967"</f>
        <v>967</v>
      </c>
      <c r="G2856">
        <v>1</v>
      </c>
      <c r="H2856">
        <v>2023</v>
      </c>
      <c r="I2856" t="s">
        <v>2971</v>
      </c>
    </row>
    <row r="2857" spans="1:9" x14ac:dyDescent="0.3">
      <c r="A2857" t="s">
        <v>10128</v>
      </c>
      <c r="B2857" t="s">
        <v>20</v>
      </c>
      <c r="C2857">
        <v>7648876604</v>
      </c>
      <c r="D2857" s="2">
        <v>1</v>
      </c>
      <c r="E2857" t="str">
        <f>"4574674200785582"</f>
        <v>4574674200785582</v>
      </c>
      <c r="F2857" t="str">
        <f>"491"</f>
        <v>491</v>
      </c>
      <c r="G2857">
        <v>1</v>
      </c>
      <c r="H2857">
        <v>2023</v>
      </c>
      <c r="I2857" t="s">
        <v>2972</v>
      </c>
    </row>
    <row r="2858" spans="1:9" x14ac:dyDescent="0.3">
      <c r="A2858" t="s">
        <v>10128</v>
      </c>
      <c r="B2858" t="s">
        <v>20</v>
      </c>
      <c r="C2858">
        <v>7648876604</v>
      </c>
      <c r="D2858" s="2">
        <v>1</v>
      </c>
      <c r="E2858" t="str">
        <f>"4574674200786226"</f>
        <v>4574674200786226</v>
      </c>
      <c r="F2858" t="str">
        <f>"778"</f>
        <v>778</v>
      </c>
      <c r="G2858">
        <v>1</v>
      </c>
      <c r="H2858">
        <v>2023</v>
      </c>
      <c r="I2858" t="s">
        <v>2973</v>
      </c>
    </row>
    <row r="2859" spans="1:9" x14ac:dyDescent="0.3">
      <c r="A2859" t="s">
        <v>10128</v>
      </c>
      <c r="B2859" t="s">
        <v>20</v>
      </c>
      <c r="C2859">
        <v>7648876604</v>
      </c>
      <c r="D2859" s="2">
        <v>1</v>
      </c>
      <c r="E2859" t="str">
        <f>"4574674200786275"</f>
        <v>4574674200786275</v>
      </c>
      <c r="F2859" t="str">
        <f>"573"</f>
        <v>573</v>
      </c>
      <c r="G2859">
        <v>1</v>
      </c>
      <c r="H2859">
        <v>2023</v>
      </c>
      <c r="I2859" t="s">
        <v>2974</v>
      </c>
    </row>
    <row r="2860" spans="1:9" x14ac:dyDescent="0.3">
      <c r="A2860" t="s">
        <v>10129</v>
      </c>
      <c r="B2860" t="s">
        <v>21</v>
      </c>
      <c r="C2860">
        <v>7648876604</v>
      </c>
      <c r="D2860" s="2">
        <v>1</v>
      </c>
      <c r="E2860" t="str">
        <f>"4574674200786010"</f>
        <v>4574674200786010</v>
      </c>
      <c r="F2860" t="str">
        <f>"752"</f>
        <v>752</v>
      </c>
      <c r="G2860">
        <v>1</v>
      </c>
      <c r="H2860">
        <v>2023</v>
      </c>
      <c r="I2860" t="s">
        <v>2975</v>
      </c>
    </row>
    <row r="2861" spans="1:9" x14ac:dyDescent="0.3">
      <c r="A2861" t="s">
        <v>10129</v>
      </c>
      <c r="B2861" t="s">
        <v>21</v>
      </c>
      <c r="C2861">
        <v>7648876604</v>
      </c>
      <c r="D2861" s="2">
        <v>1</v>
      </c>
      <c r="E2861" t="str">
        <f>"4574674200786283"</f>
        <v>4574674200786283</v>
      </c>
      <c r="F2861" t="str">
        <f>"683"</f>
        <v>683</v>
      </c>
      <c r="G2861">
        <v>1</v>
      </c>
      <c r="H2861">
        <v>2023</v>
      </c>
      <c r="I2861" t="s">
        <v>2976</v>
      </c>
    </row>
    <row r="2862" spans="1:9" x14ac:dyDescent="0.3">
      <c r="A2862" t="s">
        <v>10129</v>
      </c>
      <c r="B2862" t="s">
        <v>21</v>
      </c>
      <c r="C2862">
        <v>7648876604</v>
      </c>
      <c r="D2862" s="2">
        <v>1</v>
      </c>
      <c r="E2862" t="str">
        <f>"4574674200786093"</f>
        <v>4574674200786093</v>
      </c>
      <c r="F2862" t="str">
        <f>"906"</f>
        <v>906</v>
      </c>
      <c r="G2862">
        <v>1</v>
      </c>
      <c r="H2862">
        <v>2023</v>
      </c>
      <c r="I2862" t="s">
        <v>2977</v>
      </c>
    </row>
    <row r="2863" spans="1:9" x14ac:dyDescent="0.3">
      <c r="A2863" t="s">
        <v>10129</v>
      </c>
      <c r="B2863" t="s">
        <v>21</v>
      </c>
      <c r="C2863">
        <v>7648876604</v>
      </c>
      <c r="D2863" s="2">
        <v>1</v>
      </c>
      <c r="E2863" t="str">
        <f>"4574674200786309"</f>
        <v>4574674200786309</v>
      </c>
      <c r="F2863" t="str">
        <f>"242"</f>
        <v>242</v>
      </c>
      <c r="G2863">
        <v>1</v>
      </c>
      <c r="H2863">
        <v>2023</v>
      </c>
      <c r="I2863" t="s">
        <v>2978</v>
      </c>
    </row>
    <row r="2864" spans="1:9" x14ac:dyDescent="0.3">
      <c r="A2864" t="s">
        <v>10129</v>
      </c>
      <c r="B2864" t="s">
        <v>21</v>
      </c>
      <c r="C2864">
        <v>7648876604</v>
      </c>
      <c r="D2864" s="2">
        <v>1</v>
      </c>
      <c r="E2864" t="str">
        <f>"4574674200786325"</f>
        <v>4574674200786325</v>
      </c>
      <c r="F2864" t="str">
        <f>"394"</f>
        <v>394</v>
      </c>
      <c r="G2864">
        <v>1</v>
      </c>
      <c r="H2864">
        <v>2023</v>
      </c>
      <c r="I2864" t="s">
        <v>2979</v>
      </c>
    </row>
    <row r="2865" spans="1:9" x14ac:dyDescent="0.3">
      <c r="A2865" t="s">
        <v>10129</v>
      </c>
      <c r="B2865" t="s">
        <v>21</v>
      </c>
      <c r="C2865">
        <v>7648876604</v>
      </c>
      <c r="D2865" s="2">
        <v>1</v>
      </c>
      <c r="E2865" t="str">
        <f>"4574674200786366"</f>
        <v>4574674200786366</v>
      </c>
      <c r="F2865" t="str">
        <f>"381"</f>
        <v>381</v>
      </c>
      <c r="G2865">
        <v>1</v>
      </c>
      <c r="H2865">
        <v>2023</v>
      </c>
      <c r="I2865" t="s">
        <v>2980</v>
      </c>
    </row>
    <row r="2866" spans="1:9" x14ac:dyDescent="0.3">
      <c r="A2866" t="s">
        <v>10129</v>
      </c>
      <c r="B2866" t="s">
        <v>21</v>
      </c>
      <c r="C2866">
        <v>7648876604</v>
      </c>
      <c r="D2866" s="2">
        <v>1</v>
      </c>
      <c r="E2866" t="str">
        <f>"4574674200786382"</f>
        <v>4574674200786382</v>
      </c>
      <c r="F2866" t="str">
        <f>"836"</f>
        <v>836</v>
      </c>
      <c r="G2866">
        <v>1</v>
      </c>
      <c r="H2866">
        <v>2023</v>
      </c>
      <c r="I2866" t="s">
        <v>2981</v>
      </c>
    </row>
    <row r="2867" spans="1:9" x14ac:dyDescent="0.3">
      <c r="A2867" t="s">
        <v>10129</v>
      </c>
      <c r="B2867" t="s">
        <v>21</v>
      </c>
      <c r="C2867">
        <v>7648876604</v>
      </c>
      <c r="D2867" s="2">
        <v>1</v>
      </c>
      <c r="E2867" t="str">
        <f>"4574674200786606"</f>
        <v>4574674200786606</v>
      </c>
      <c r="F2867" t="str">
        <f>"498"</f>
        <v>498</v>
      </c>
      <c r="G2867">
        <v>1</v>
      </c>
      <c r="H2867">
        <v>2023</v>
      </c>
      <c r="I2867" t="s">
        <v>2982</v>
      </c>
    </row>
    <row r="2868" spans="1:9" x14ac:dyDescent="0.3">
      <c r="A2868" t="s">
        <v>10129</v>
      </c>
      <c r="B2868" t="s">
        <v>21</v>
      </c>
      <c r="C2868">
        <v>7648876604</v>
      </c>
      <c r="D2868" s="2">
        <v>1</v>
      </c>
      <c r="E2868" t="str">
        <f>"4574674200786614"</f>
        <v>4574674200786614</v>
      </c>
      <c r="F2868" t="str">
        <f>"327"</f>
        <v>327</v>
      </c>
      <c r="G2868">
        <v>1</v>
      </c>
      <c r="H2868">
        <v>2023</v>
      </c>
      <c r="I2868" t="s">
        <v>2983</v>
      </c>
    </row>
    <row r="2869" spans="1:9" x14ac:dyDescent="0.3">
      <c r="A2869" t="s">
        <v>10129</v>
      </c>
      <c r="B2869" t="s">
        <v>21</v>
      </c>
      <c r="C2869">
        <v>7648876604</v>
      </c>
      <c r="D2869" s="2">
        <v>1</v>
      </c>
      <c r="E2869" t="str">
        <f>"4574674200786432"</f>
        <v>4574674200786432</v>
      </c>
      <c r="F2869" t="str">
        <f>"838"</f>
        <v>838</v>
      </c>
      <c r="G2869">
        <v>1</v>
      </c>
      <c r="H2869">
        <v>2023</v>
      </c>
      <c r="I2869" t="s">
        <v>2984</v>
      </c>
    </row>
    <row r="2870" spans="1:9" x14ac:dyDescent="0.3">
      <c r="A2870" t="s">
        <v>10130</v>
      </c>
      <c r="B2870" t="s">
        <v>22</v>
      </c>
      <c r="C2870">
        <v>7648876604</v>
      </c>
      <c r="D2870" s="2">
        <v>1</v>
      </c>
      <c r="E2870" t="str">
        <f>"4574674200786697"</f>
        <v>4574674200786697</v>
      </c>
      <c r="F2870" t="str">
        <f>"170"</f>
        <v>170</v>
      </c>
      <c r="G2870">
        <v>1</v>
      </c>
      <c r="H2870">
        <v>2023</v>
      </c>
      <c r="I2870" t="s">
        <v>2985</v>
      </c>
    </row>
    <row r="2871" spans="1:9" x14ac:dyDescent="0.3">
      <c r="A2871" t="s">
        <v>10130</v>
      </c>
      <c r="B2871" t="s">
        <v>22</v>
      </c>
      <c r="C2871">
        <v>7648876604</v>
      </c>
      <c r="D2871" s="2">
        <v>1</v>
      </c>
      <c r="E2871" t="str">
        <f>"4574674200786739"</f>
        <v>4574674200786739</v>
      </c>
      <c r="F2871" t="str">
        <f>"308"</f>
        <v>308</v>
      </c>
      <c r="G2871">
        <v>1</v>
      </c>
      <c r="H2871">
        <v>2023</v>
      </c>
      <c r="I2871" t="s">
        <v>2986</v>
      </c>
    </row>
    <row r="2872" spans="1:9" x14ac:dyDescent="0.3">
      <c r="A2872" t="s">
        <v>10130</v>
      </c>
      <c r="B2872" t="s">
        <v>22</v>
      </c>
      <c r="C2872">
        <v>7648876604</v>
      </c>
      <c r="D2872" s="2">
        <v>1</v>
      </c>
      <c r="E2872" t="str">
        <f>"4574674200786705"</f>
        <v>4574674200786705</v>
      </c>
      <c r="F2872" t="str">
        <f>"646"</f>
        <v>646</v>
      </c>
      <c r="G2872">
        <v>1</v>
      </c>
      <c r="H2872">
        <v>2023</v>
      </c>
      <c r="I2872" t="s">
        <v>2987</v>
      </c>
    </row>
    <row r="2873" spans="1:9" x14ac:dyDescent="0.3">
      <c r="A2873" t="s">
        <v>10130</v>
      </c>
      <c r="B2873" t="s">
        <v>22</v>
      </c>
      <c r="C2873">
        <v>7648876604</v>
      </c>
      <c r="D2873" s="2">
        <v>1</v>
      </c>
      <c r="E2873" t="str">
        <f>"4574674200786507"</f>
        <v>4574674200786507</v>
      </c>
      <c r="F2873" t="str">
        <f>"971"</f>
        <v>971</v>
      </c>
      <c r="G2873">
        <v>1</v>
      </c>
      <c r="H2873">
        <v>2023</v>
      </c>
      <c r="I2873" t="s">
        <v>2988</v>
      </c>
    </row>
    <row r="2874" spans="1:9" x14ac:dyDescent="0.3">
      <c r="A2874" t="s">
        <v>10130</v>
      </c>
      <c r="B2874" t="s">
        <v>22</v>
      </c>
      <c r="C2874">
        <v>7648876604</v>
      </c>
      <c r="D2874" s="2">
        <v>1</v>
      </c>
      <c r="E2874" t="str">
        <f>"4574674200786598"</f>
        <v>4574674200786598</v>
      </c>
      <c r="F2874" t="str">
        <f>"491"</f>
        <v>491</v>
      </c>
      <c r="G2874">
        <v>1</v>
      </c>
      <c r="H2874">
        <v>2023</v>
      </c>
      <c r="I2874" t="s">
        <v>2989</v>
      </c>
    </row>
    <row r="2875" spans="1:9" x14ac:dyDescent="0.3">
      <c r="A2875" t="s">
        <v>10130</v>
      </c>
      <c r="B2875" t="s">
        <v>22</v>
      </c>
      <c r="C2875">
        <v>7648876604</v>
      </c>
      <c r="D2875" s="2">
        <v>1</v>
      </c>
      <c r="E2875" t="str">
        <f>"4574674200786846"</f>
        <v>4574674200786846</v>
      </c>
      <c r="F2875" t="str">
        <f>"694"</f>
        <v>694</v>
      </c>
      <c r="G2875">
        <v>1</v>
      </c>
      <c r="H2875">
        <v>2023</v>
      </c>
      <c r="I2875" t="s">
        <v>2990</v>
      </c>
    </row>
    <row r="2876" spans="1:9" x14ac:dyDescent="0.3">
      <c r="A2876" t="s">
        <v>10130</v>
      </c>
      <c r="B2876" t="s">
        <v>22</v>
      </c>
      <c r="C2876">
        <v>7648876604</v>
      </c>
      <c r="D2876" s="2">
        <v>1</v>
      </c>
      <c r="E2876" t="str">
        <f>"4574674200787034"</f>
        <v>4574674200787034</v>
      </c>
      <c r="F2876" t="str">
        <f>"402"</f>
        <v>402</v>
      </c>
      <c r="G2876">
        <v>1</v>
      </c>
      <c r="H2876">
        <v>2023</v>
      </c>
      <c r="I2876" t="s">
        <v>2991</v>
      </c>
    </row>
    <row r="2877" spans="1:9" x14ac:dyDescent="0.3">
      <c r="A2877" t="s">
        <v>10130</v>
      </c>
      <c r="B2877" t="s">
        <v>22</v>
      </c>
      <c r="C2877">
        <v>7648876604</v>
      </c>
      <c r="D2877" s="2">
        <v>1</v>
      </c>
      <c r="E2877" t="str">
        <f>"4574674200788461"</f>
        <v>4574674200788461</v>
      </c>
      <c r="F2877" t="str">
        <f>"200"</f>
        <v>200</v>
      </c>
      <c r="G2877">
        <v>1</v>
      </c>
      <c r="H2877">
        <v>2023</v>
      </c>
      <c r="I2877" t="s">
        <v>2992</v>
      </c>
    </row>
    <row r="2878" spans="1:9" x14ac:dyDescent="0.3">
      <c r="A2878" t="s">
        <v>10130</v>
      </c>
      <c r="B2878" t="s">
        <v>22</v>
      </c>
      <c r="C2878">
        <v>7648876604</v>
      </c>
      <c r="D2878" s="2">
        <v>1</v>
      </c>
      <c r="E2878" t="str">
        <f>"4574674200788636"</f>
        <v>4574674200788636</v>
      </c>
      <c r="F2878" t="str">
        <f>"734"</f>
        <v>734</v>
      </c>
      <c r="G2878">
        <v>1</v>
      </c>
      <c r="H2878">
        <v>2023</v>
      </c>
      <c r="I2878" t="s">
        <v>2993</v>
      </c>
    </row>
    <row r="2879" spans="1:9" x14ac:dyDescent="0.3">
      <c r="A2879" t="s">
        <v>10130</v>
      </c>
      <c r="B2879" t="s">
        <v>22</v>
      </c>
      <c r="C2879">
        <v>7648876604</v>
      </c>
      <c r="D2879" s="2">
        <v>1</v>
      </c>
      <c r="E2879" t="str">
        <f>"4574674200788826"</f>
        <v>4574674200788826</v>
      </c>
      <c r="F2879" t="str">
        <f>"203"</f>
        <v>203</v>
      </c>
      <c r="G2879">
        <v>1</v>
      </c>
      <c r="H2879">
        <v>2023</v>
      </c>
      <c r="I2879" t="s">
        <v>2994</v>
      </c>
    </row>
    <row r="2880" spans="1:9" x14ac:dyDescent="0.3">
      <c r="A2880" t="s">
        <v>10131</v>
      </c>
      <c r="B2880" t="s">
        <v>23</v>
      </c>
      <c r="C2880">
        <v>7648876604</v>
      </c>
      <c r="D2880" s="2">
        <v>1</v>
      </c>
      <c r="E2880" t="str">
        <f>"4574674200788818"</f>
        <v>4574674200788818</v>
      </c>
      <c r="F2880" t="str">
        <f>"199"</f>
        <v>199</v>
      </c>
      <c r="G2880">
        <v>1</v>
      </c>
      <c r="H2880">
        <v>2023</v>
      </c>
      <c r="I2880" t="s">
        <v>2995</v>
      </c>
    </row>
    <row r="2881" spans="1:9" x14ac:dyDescent="0.3">
      <c r="A2881" t="s">
        <v>10131</v>
      </c>
      <c r="B2881" t="s">
        <v>23</v>
      </c>
      <c r="C2881">
        <v>7648876604</v>
      </c>
      <c r="D2881" s="2">
        <v>1</v>
      </c>
      <c r="E2881" t="str">
        <f>"4574674200788701"</f>
        <v>4574674200788701</v>
      </c>
      <c r="F2881" t="str">
        <f>"845"</f>
        <v>845</v>
      </c>
      <c r="G2881">
        <v>1</v>
      </c>
      <c r="H2881">
        <v>2023</v>
      </c>
      <c r="I2881" t="s">
        <v>2996</v>
      </c>
    </row>
    <row r="2882" spans="1:9" x14ac:dyDescent="0.3">
      <c r="A2882" t="s">
        <v>10131</v>
      </c>
      <c r="B2882" t="s">
        <v>23</v>
      </c>
      <c r="C2882">
        <v>7648876604</v>
      </c>
      <c r="D2882" s="2">
        <v>1</v>
      </c>
      <c r="E2882" t="str">
        <f>"4574674200788883"</f>
        <v>4574674200788883</v>
      </c>
      <c r="F2882" t="str">
        <f>"624"</f>
        <v>624</v>
      </c>
      <c r="G2882">
        <v>1</v>
      </c>
      <c r="H2882">
        <v>2023</v>
      </c>
      <c r="I2882" t="s">
        <v>2997</v>
      </c>
    </row>
    <row r="2883" spans="1:9" x14ac:dyDescent="0.3">
      <c r="A2883" t="s">
        <v>10131</v>
      </c>
      <c r="B2883" t="s">
        <v>23</v>
      </c>
      <c r="C2883">
        <v>7648876604</v>
      </c>
      <c r="D2883" s="2">
        <v>1</v>
      </c>
      <c r="E2883" t="str">
        <f>"4574674200788875"</f>
        <v>4574674200788875</v>
      </c>
      <c r="F2883" t="str">
        <f>"279"</f>
        <v>279</v>
      </c>
      <c r="G2883">
        <v>1</v>
      </c>
      <c r="H2883">
        <v>2023</v>
      </c>
      <c r="I2883" t="s">
        <v>2998</v>
      </c>
    </row>
    <row r="2884" spans="1:9" x14ac:dyDescent="0.3">
      <c r="A2884" t="s">
        <v>10131</v>
      </c>
      <c r="B2884" t="s">
        <v>23</v>
      </c>
      <c r="C2884">
        <v>7648876604</v>
      </c>
      <c r="D2884" s="2">
        <v>1</v>
      </c>
      <c r="E2884" t="str">
        <f>"4574674200788909"</f>
        <v>4574674200788909</v>
      </c>
      <c r="F2884" t="str">
        <f>"919"</f>
        <v>919</v>
      </c>
      <c r="G2884">
        <v>1</v>
      </c>
      <c r="H2884">
        <v>2023</v>
      </c>
      <c r="I2884" t="s">
        <v>2999</v>
      </c>
    </row>
    <row r="2885" spans="1:9" x14ac:dyDescent="0.3">
      <c r="A2885" t="s">
        <v>10131</v>
      </c>
      <c r="B2885" t="s">
        <v>23</v>
      </c>
      <c r="C2885">
        <v>7648876604</v>
      </c>
      <c r="D2885" s="2">
        <v>1</v>
      </c>
      <c r="E2885" t="str">
        <f>"4574674200789014"</f>
        <v>4574674200789014</v>
      </c>
      <c r="F2885" t="str">
        <f>"842"</f>
        <v>842</v>
      </c>
      <c r="G2885">
        <v>1</v>
      </c>
      <c r="H2885">
        <v>2023</v>
      </c>
      <c r="I2885" t="s">
        <v>3000</v>
      </c>
    </row>
    <row r="2886" spans="1:9" x14ac:dyDescent="0.3">
      <c r="A2886" t="s">
        <v>10131</v>
      </c>
      <c r="B2886" t="s">
        <v>23</v>
      </c>
      <c r="C2886">
        <v>7648876604</v>
      </c>
      <c r="D2886" s="2">
        <v>1</v>
      </c>
      <c r="E2886" t="str">
        <f>"4574674200789048"</f>
        <v>4574674200789048</v>
      </c>
      <c r="F2886" t="str">
        <f>"971"</f>
        <v>971</v>
      </c>
      <c r="G2886">
        <v>1</v>
      </c>
      <c r="H2886">
        <v>2023</v>
      </c>
      <c r="I2886" t="s">
        <v>3001</v>
      </c>
    </row>
    <row r="2887" spans="1:9" x14ac:dyDescent="0.3">
      <c r="A2887" t="s">
        <v>10131</v>
      </c>
      <c r="B2887" t="s">
        <v>23</v>
      </c>
      <c r="C2887">
        <v>7648876604</v>
      </c>
      <c r="D2887" s="2">
        <v>1</v>
      </c>
      <c r="E2887" t="str">
        <f>"4574674200788966"</f>
        <v>4574674200788966</v>
      </c>
      <c r="F2887" t="str">
        <f>"427"</f>
        <v>427</v>
      </c>
      <c r="G2887">
        <v>1</v>
      </c>
      <c r="H2887">
        <v>2023</v>
      </c>
      <c r="I2887" t="s">
        <v>3002</v>
      </c>
    </row>
    <row r="2888" spans="1:9" x14ac:dyDescent="0.3">
      <c r="A2888" t="s">
        <v>10131</v>
      </c>
      <c r="B2888" t="s">
        <v>23</v>
      </c>
      <c r="C2888">
        <v>7648876604</v>
      </c>
      <c r="D2888" s="2">
        <v>1</v>
      </c>
      <c r="E2888" t="str">
        <f>"4574674200788974"</f>
        <v>4574674200788974</v>
      </c>
      <c r="F2888" t="str">
        <f>"742"</f>
        <v>742</v>
      </c>
      <c r="G2888">
        <v>1</v>
      </c>
      <c r="H2888">
        <v>2023</v>
      </c>
      <c r="I2888" t="s">
        <v>3003</v>
      </c>
    </row>
    <row r="2889" spans="1:9" x14ac:dyDescent="0.3">
      <c r="A2889" t="s">
        <v>10131</v>
      </c>
      <c r="B2889" t="s">
        <v>23</v>
      </c>
      <c r="C2889">
        <v>7648876604</v>
      </c>
      <c r="D2889" s="2">
        <v>1</v>
      </c>
      <c r="E2889" t="str">
        <f>"4574674200788990"</f>
        <v>4574674200788990</v>
      </c>
      <c r="F2889" t="str">
        <f>"160"</f>
        <v>160</v>
      </c>
      <c r="G2889">
        <v>1</v>
      </c>
      <c r="H2889">
        <v>2023</v>
      </c>
      <c r="I2889" t="s">
        <v>3004</v>
      </c>
    </row>
    <row r="2890" spans="1:9" x14ac:dyDescent="0.3">
      <c r="A2890" t="s">
        <v>10132</v>
      </c>
      <c r="B2890" t="s">
        <v>24</v>
      </c>
      <c r="C2890">
        <v>7648876604</v>
      </c>
      <c r="D2890" s="2">
        <v>1</v>
      </c>
      <c r="E2890" t="str">
        <f>"4574674200789204"</f>
        <v>4574674200789204</v>
      </c>
      <c r="F2890" t="str">
        <f>"117"</f>
        <v>117</v>
      </c>
      <c r="G2890">
        <v>1</v>
      </c>
      <c r="H2890">
        <v>2023</v>
      </c>
      <c r="I2890" t="s">
        <v>3005</v>
      </c>
    </row>
    <row r="2891" spans="1:9" x14ac:dyDescent="0.3">
      <c r="A2891" t="s">
        <v>10132</v>
      </c>
      <c r="B2891" t="s">
        <v>24</v>
      </c>
      <c r="C2891">
        <v>7648876604</v>
      </c>
      <c r="D2891" s="2">
        <v>1</v>
      </c>
      <c r="E2891" t="str">
        <f>"4574674200789212"</f>
        <v>4574674200789212</v>
      </c>
      <c r="F2891" t="str">
        <f>"360"</f>
        <v>360</v>
      </c>
      <c r="G2891">
        <v>1</v>
      </c>
      <c r="H2891">
        <v>2023</v>
      </c>
      <c r="I2891" t="s">
        <v>3006</v>
      </c>
    </row>
    <row r="2892" spans="1:9" x14ac:dyDescent="0.3">
      <c r="A2892" t="s">
        <v>10132</v>
      </c>
      <c r="B2892" t="s">
        <v>24</v>
      </c>
      <c r="C2892">
        <v>7648876604</v>
      </c>
      <c r="D2892" s="2">
        <v>1</v>
      </c>
      <c r="E2892" t="str">
        <f>"4574674200789279"</f>
        <v>4574674200789279</v>
      </c>
      <c r="F2892" t="str">
        <f>"308"</f>
        <v>308</v>
      </c>
      <c r="G2892">
        <v>1</v>
      </c>
      <c r="H2892">
        <v>2023</v>
      </c>
      <c r="I2892" t="s">
        <v>3007</v>
      </c>
    </row>
    <row r="2893" spans="1:9" x14ac:dyDescent="0.3">
      <c r="A2893" t="s">
        <v>10132</v>
      </c>
      <c r="B2893" t="s">
        <v>24</v>
      </c>
      <c r="C2893">
        <v>7648876604</v>
      </c>
      <c r="D2893" s="2">
        <v>1</v>
      </c>
      <c r="E2893" t="str">
        <f>"4574674200789287"</f>
        <v>4574674200789287</v>
      </c>
      <c r="F2893" t="str">
        <f>"192"</f>
        <v>192</v>
      </c>
      <c r="G2893">
        <v>1</v>
      </c>
      <c r="H2893">
        <v>2023</v>
      </c>
      <c r="I2893" t="s">
        <v>3008</v>
      </c>
    </row>
    <row r="2894" spans="1:9" x14ac:dyDescent="0.3">
      <c r="A2894" t="s">
        <v>10132</v>
      </c>
      <c r="B2894" t="s">
        <v>24</v>
      </c>
      <c r="C2894">
        <v>7648876604</v>
      </c>
      <c r="D2894" s="2">
        <v>1</v>
      </c>
      <c r="E2894" t="str">
        <f>"4574674200789410"</f>
        <v>4574674200789410</v>
      </c>
      <c r="F2894" t="str">
        <f>"812"</f>
        <v>812</v>
      </c>
      <c r="G2894">
        <v>1</v>
      </c>
      <c r="H2894">
        <v>2023</v>
      </c>
      <c r="I2894" t="s">
        <v>3009</v>
      </c>
    </row>
    <row r="2895" spans="1:9" x14ac:dyDescent="0.3">
      <c r="A2895" t="s">
        <v>10132</v>
      </c>
      <c r="B2895" t="s">
        <v>24</v>
      </c>
      <c r="C2895">
        <v>7648876604</v>
      </c>
      <c r="D2895" s="2">
        <v>1</v>
      </c>
      <c r="E2895" t="str">
        <f>"4574674200789170"</f>
        <v>4574674200789170</v>
      </c>
      <c r="F2895" t="str">
        <f>"411"</f>
        <v>411</v>
      </c>
      <c r="G2895">
        <v>1</v>
      </c>
      <c r="H2895">
        <v>2023</v>
      </c>
      <c r="I2895" t="s">
        <v>3010</v>
      </c>
    </row>
    <row r="2896" spans="1:9" x14ac:dyDescent="0.3">
      <c r="A2896" t="s">
        <v>10132</v>
      </c>
      <c r="B2896" t="s">
        <v>24</v>
      </c>
      <c r="C2896">
        <v>7648876604</v>
      </c>
      <c r="D2896" s="2">
        <v>1</v>
      </c>
      <c r="E2896" t="str">
        <f>"4574674200789311"</f>
        <v>4574674200789311</v>
      </c>
      <c r="F2896" t="str">
        <f>"765"</f>
        <v>765</v>
      </c>
      <c r="G2896">
        <v>1</v>
      </c>
      <c r="H2896">
        <v>2023</v>
      </c>
      <c r="I2896" t="s">
        <v>3011</v>
      </c>
    </row>
    <row r="2897" spans="1:9" x14ac:dyDescent="0.3">
      <c r="A2897" t="s">
        <v>10132</v>
      </c>
      <c r="B2897" t="s">
        <v>24</v>
      </c>
      <c r="C2897">
        <v>7648876604</v>
      </c>
      <c r="D2897" s="2">
        <v>1</v>
      </c>
      <c r="E2897" t="str">
        <f>"4574674200789337"</f>
        <v>4574674200789337</v>
      </c>
      <c r="F2897" t="str">
        <f>"464"</f>
        <v>464</v>
      </c>
      <c r="G2897">
        <v>1</v>
      </c>
      <c r="H2897">
        <v>2023</v>
      </c>
      <c r="I2897" t="s">
        <v>3012</v>
      </c>
    </row>
    <row r="2898" spans="1:9" x14ac:dyDescent="0.3">
      <c r="A2898" t="s">
        <v>10132</v>
      </c>
      <c r="B2898" t="s">
        <v>24</v>
      </c>
      <c r="C2898">
        <v>7648876604</v>
      </c>
      <c r="D2898" s="2">
        <v>1</v>
      </c>
      <c r="E2898" t="str">
        <f>"4574674200789329"</f>
        <v>4574674200789329</v>
      </c>
      <c r="F2898" t="str">
        <f>"916"</f>
        <v>916</v>
      </c>
      <c r="G2898">
        <v>1</v>
      </c>
      <c r="H2898">
        <v>2023</v>
      </c>
      <c r="I2898" t="s">
        <v>3013</v>
      </c>
    </row>
    <row r="2899" spans="1:9" x14ac:dyDescent="0.3">
      <c r="A2899" t="s">
        <v>10132</v>
      </c>
      <c r="B2899" t="s">
        <v>24</v>
      </c>
      <c r="C2899">
        <v>7648876604</v>
      </c>
      <c r="D2899" s="2">
        <v>1</v>
      </c>
      <c r="E2899" t="str">
        <f>"4574674200789360"</f>
        <v>4574674200789360</v>
      </c>
      <c r="F2899" t="str">
        <f>"712"</f>
        <v>712</v>
      </c>
      <c r="G2899">
        <v>1</v>
      </c>
      <c r="H2899">
        <v>2023</v>
      </c>
      <c r="I2899" t="s">
        <v>3014</v>
      </c>
    </row>
    <row r="2900" spans="1:9" x14ac:dyDescent="0.3">
      <c r="A2900" t="s">
        <v>10133</v>
      </c>
      <c r="B2900" t="s">
        <v>25</v>
      </c>
      <c r="C2900">
        <v>7648876604</v>
      </c>
      <c r="D2900" s="2">
        <v>1</v>
      </c>
      <c r="E2900" t="str">
        <f>"4574674200789378"</f>
        <v>4574674200789378</v>
      </c>
      <c r="F2900" t="str">
        <f>"914"</f>
        <v>914</v>
      </c>
      <c r="G2900">
        <v>1</v>
      </c>
      <c r="H2900">
        <v>2023</v>
      </c>
      <c r="I2900" t="s">
        <v>3015</v>
      </c>
    </row>
    <row r="2901" spans="1:9" x14ac:dyDescent="0.3">
      <c r="A2901" t="s">
        <v>10133</v>
      </c>
      <c r="B2901" t="s">
        <v>25</v>
      </c>
      <c r="C2901">
        <v>7648876604</v>
      </c>
      <c r="D2901" s="2">
        <v>1</v>
      </c>
      <c r="E2901" t="str">
        <f>"4574674200789543"</f>
        <v>4574674200789543</v>
      </c>
      <c r="F2901" t="str">
        <f>"146"</f>
        <v>146</v>
      </c>
      <c r="G2901">
        <v>1</v>
      </c>
      <c r="H2901">
        <v>2023</v>
      </c>
      <c r="I2901" t="s">
        <v>3016</v>
      </c>
    </row>
    <row r="2902" spans="1:9" x14ac:dyDescent="0.3">
      <c r="A2902" t="s">
        <v>10133</v>
      </c>
      <c r="B2902" t="s">
        <v>25</v>
      </c>
      <c r="C2902">
        <v>7648876604</v>
      </c>
      <c r="D2902" s="2">
        <v>1</v>
      </c>
      <c r="E2902" t="str">
        <f>"4574674200789840"</f>
        <v>4574674200789840</v>
      </c>
      <c r="F2902" t="str">
        <f>"131"</f>
        <v>131</v>
      </c>
      <c r="G2902">
        <v>1</v>
      </c>
      <c r="H2902">
        <v>2023</v>
      </c>
      <c r="I2902" t="s">
        <v>3017</v>
      </c>
    </row>
    <row r="2903" spans="1:9" x14ac:dyDescent="0.3">
      <c r="A2903" t="s">
        <v>10133</v>
      </c>
      <c r="B2903" t="s">
        <v>25</v>
      </c>
      <c r="C2903">
        <v>7648876604</v>
      </c>
      <c r="D2903" s="2">
        <v>1</v>
      </c>
      <c r="E2903" t="str">
        <f>"4574674200789741"</f>
        <v>4574674200789741</v>
      </c>
      <c r="F2903" t="str">
        <f>"567"</f>
        <v>567</v>
      </c>
      <c r="G2903">
        <v>1</v>
      </c>
      <c r="H2903">
        <v>2023</v>
      </c>
      <c r="I2903" t="s">
        <v>3018</v>
      </c>
    </row>
    <row r="2904" spans="1:9" x14ac:dyDescent="0.3">
      <c r="A2904" t="s">
        <v>10133</v>
      </c>
      <c r="B2904" t="s">
        <v>25</v>
      </c>
      <c r="C2904">
        <v>7648876604</v>
      </c>
      <c r="D2904" s="2">
        <v>1</v>
      </c>
      <c r="E2904" t="str">
        <f>"4574674200789667"</f>
        <v>4574674200789667</v>
      </c>
      <c r="F2904" t="str">
        <f>"069"</f>
        <v>069</v>
      </c>
      <c r="G2904">
        <v>1</v>
      </c>
      <c r="H2904">
        <v>2023</v>
      </c>
      <c r="I2904" t="s">
        <v>3019</v>
      </c>
    </row>
    <row r="2905" spans="1:9" x14ac:dyDescent="0.3">
      <c r="A2905" t="s">
        <v>10133</v>
      </c>
      <c r="B2905" t="s">
        <v>25</v>
      </c>
      <c r="C2905">
        <v>7648876604</v>
      </c>
      <c r="D2905" s="2">
        <v>1</v>
      </c>
      <c r="E2905" t="str">
        <f>"4574674200789634"</f>
        <v>4574674200789634</v>
      </c>
      <c r="F2905" t="str">
        <f>"628"</f>
        <v>628</v>
      </c>
      <c r="G2905">
        <v>1</v>
      </c>
      <c r="H2905">
        <v>2023</v>
      </c>
      <c r="I2905" t="s">
        <v>3020</v>
      </c>
    </row>
    <row r="2906" spans="1:9" x14ac:dyDescent="0.3">
      <c r="A2906" t="s">
        <v>10133</v>
      </c>
      <c r="B2906" t="s">
        <v>25</v>
      </c>
      <c r="C2906">
        <v>7648876604</v>
      </c>
      <c r="D2906" s="2">
        <v>1</v>
      </c>
      <c r="E2906" t="str">
        <f>"4574674200789642"</f>
        <v>4574674200789642</v>
      </c>
      <c r="F2906" t="str">
        <f>"164"</f>
        <v>164</v>
      </c>
      <c r="G2906">
        <v>1</v>
      </c>
      <c r="H2906">
        <v>2023</v>
      </c>
      <c r="I2906" t="s">
        <v>3021</v>
      </c>
    </row>
    <row r="2907" spans="1:9" x14ac:dyDescent="0.3">
      <c r="A2907" t="s">
        <v>10133</v>
      </c>
      <c r="B2907" t="s">
        <v>25</v>
      </c>
      <c r="C2907">
        <v>7648876604</v>
      </c>
      <c r="D2907" s="2">
        <v>1</v>
      </c>
      <c r="E2907" t="str">
        <f>"4574674200789675"</f>
        <v>4574674200789675</v>
      </c>
      <c r="F2907" t="str">
        <f>"815"</f>
        <v>815</v>
      </c>
      <c r="G2907">
        <v>1</v>
      </c>
      <c r="H2907">
        <v>2023</v>
      </c>
      <c r="I2907" t="s">
        <v>3022</v>
      </c>
    </row>
    <row r="2908" spans="1:9" x14ac:dyDescent="0.3">
      <c r="A2908" t="s">
        <v>10133</v>
      </c>
      <c r="B2908" t="s">
        <v>25</v>
      </c>
      <c r="C2908">
        <v>7648876604</v>
      </c>
      <c r="D2908" s="2">
        <v>1</v>
      </c>
      <c r="E2908" t="str">
        <f>"4574674200789915"</f>
        <v>4574674200789915</v>
      </c>
      <c r="F2908" t="str">
        <f>"162"</f>
        <v>162</v>
      </c>
      <c r="G2908">
        <v>1</v>
      </c>
      <c r="H2908">
        <v>2023</v>
      </c>
      <c r="I2908" t="s">
        <v>3023</v>
      </c>
    </row>
    <row r="2909" spans="1:9" x14ac:dyDescent="0.3">
      <c r="A2909" t="s">
        <v>10133</v>
      </c>
      <c r="B2909" t="s">
        <v>25</v>
      </c>
      <c r="C2909">
        <v>7648876604</v>
      </c>
      <c r="D2909" s="2">
        <v>1</v>
      </c>
      <c r="E2909" t="str">
        <f>"4574674200789923"</f>
        <v>4574674200789923</v>
      </c>
      <c r="F2909" t="str">
        <f>"304"</f>
        <v>304</v>
      </c>
      <c r="G2909">
        <v>1</v>
      </c>
      <c r="H2909">
        <v>2023</v>
      </c>
      <c r="I2909" t="s">
        <v>3024</v>
      </c>
    </row>
    <row r="2910" spans="1:9" x14ac:dyDescent="0.3">
      <c r="A2910" t="s">
        <v>10134</v>
      </c>
      <c r="B2910" t="s">
        <v>26</v>
      </c>
      <c r="C2910">
        <v>7648876604</v>
      </c>
      <c r="D2910" s="2">
        <v>1</v>
      </c>
      <c r="E2910" t="str">
        <f>"4574674200789758"</f>
        <v>4574674200789758</v>
      </c>
      <c r="F2910" t="str">
        <f>"143"</f>
        <v>143</v>
      </c>
      <c r="G2910">
        <v>1</v>
      </c>
      <c r="H2910">
        <v>2023</v>
      </c>
      <c r="I2910" t="s">
        <v>3025</v>
      </c>
    </row>
    <row r="2911" spans="1:9" x14ac:dyDescent="0.3">
      <c r="A2911" t="s">
        <v>10134</v>
      </c>
      <c r="B2911" t="s">
        <v>26</v>
      </c>
      <c r="C2911">
        <v>7648876604</v>
      </c>
      <c r="D2911" s="2">
        <v>1</v>
      </c>
      <c r="E2911" t="str">
        <f>"4574674200790210"</f>
        <v>4574674200790210</v>
      </c>
      <c r="F2911" t="str">
        <f>"651"</f>
        <v>651</v>
      </c>
      <c r="G2911">
        <v>1</v>
      </c>
      <c r="H2911">
        <v>2023</v>
      </c>
      <c r="I2911" t="s">
        <v>3026</v>
      </c>
    </row>
    <row r="2912" spans="1:9" x14ac:dyDescent="0.3">
      <c r="A2912" t="s">
        <v>10134</v>
      </c>
      <c r="B2912" t="s">
        <v>26</v>
      </c>
      <c r="C2912">
        <v>7648876604</v>
      </c>
      <c r="D2912" s="2">
        <v>1</v>
      </c>
      <c r="E2912" t="str">
        <f>"4574674200789766"</f>
        <v>4574674200789766</v>
      </c>
      <c r="F2912" t="str">
        <f>"974"</f>
        <v>974</v>
      </c>
      <c r="G2912">
        <v>1</v>
      </c>
      <c r="H2912">
        <v>2023</v>
      </c>
      <c r="I2912" t="s">
        <v>3027</v>
      </c>
    </row>
    <row r="2913" spans="1:9" x14ac:dyDescent="0.3">
      <c r="A2913" t="s">
        <v>10134</v>
      </c>
      <c r="B2913" t="s">
        <v>26</v>
      </c>
      <c r="C2913">
        <v>7648876604</v>
      </c>
      <c r="D2913" s="2">
        <v>1</v>
      </c>
      <c r="E2913" t="str">
        <f>"4574674200790202"</f>
        <v>4574674200790202</v>
      </c>
      <c r="F2913" t="str">
        <f>"363"</f>
        <v>363</v>
      </c>
      <c r="G2913">
        <v>1</v>
      </c>
      <c r="H2913">
        <v>2023</v>
      </c>
      <c r="I2913" t="s">
        <v>3028</v>
      </c>
    </row>
    <row r="2914" spans="1:9" x14ac:dyDescent="0.3">
      <c r="A2914" t="s">
        <v>10134</v>
      </c>
      <c r="B2914" t="s">
        <v>26</v>
      </c>
      <c r="C2914">
        <v>7648876604</v>
      </c>
      <c r="D2914" s="2">
        <v>1</v>
      </c>
      <c r="E2914" t="str">
        <f>"4574674200790269"</f>
        <v>4574674200790269</v>
      </c>
      <c r="F2914" t="str">
        <f>"945"</f>
        <v>945</v>
      </c>
      <c r="G2914">
        <v>1</v>
      </c>
      <c r="H2914">
        <v>2023</v>
      </c>
      <c r="I2914" t="s">
        <v>3029</v>
      </c>
    </row>
    <row r="2915" spans="1:9" x14ac:dyDescent="0.3">
      <c r="A2915" t="s">
        <v>10134</v>
      </c>
      <c r="B2915" t="s">
        <v>26</v>
      </c>
      <c r="C2915">
        <v>7648876604</v>
      </c>
      <c r="D2915" s="2">
        <v>1</v>
      </c>
      <c r="E2915" t="str">
        <f>"4574674200790079"</f>
        <v>4574674200790079</v>
      </c>
      <c r="F2915" t="str">
        <f>"745"</f>
        <v>745</v>
      </c>
      <c r="G2915">
        <v>1</v>
      </c>
      <c r="H2915">
        <v>2023</v>
      </c>
      <c r="I2915" t="s">
        <v>3030</v>
      </c>
    </row>
    <row r="2916" spans="1:9" x14ac:dyDescent="0.3">
      <c r="A2916" t="s">
        <v>10134</v>
      </c>
      <c r="B2916" t="s">
        <v>26</v>
      </c>
      <c r="C2916">
        <v>7648876604</v>
      </c>
      <c r="D2916" s="2">
        <v>1</v>
      </c>
      <c r="E2916" t="str">
        <f>"4574674200790293"</f>
        <v>4574674200790293</v>
      </c>
      <c r="F2916" t="str">
        <f>"853"</f>
        <v>853</v>
      </c>
      <c r="G2916">
        <v>1</v>
      </c>
      <c r="H2916">
        <v>2023</v>
      </c>
      <c r="I2916" t="s">
        <v>3031</v>
      </c>
    </row>
    <row r="2917" spans="1:9" x14ac:dyDescent="0.3">
      <c r="A2917" t="s">
        <v>10134</v>
      </c>
      <c r="B2917" t="s">
        <v>26</v>
      </c>
      <c r="C2917">
        <v>7648876604</v>
      </c>
      <c r="D2917" s="2">
        <v>1</v>
      </c>
      <c r="E2917" t="str">
        <f>"4574674200790285"</f>
        <v>4574674200790285</v>
      </c>
      <c r="F2917" t="str">
        <f>"014"</f>
        <v>014</v>
      </c>
      <c r="G2917">
        <v>1</v>
      </c>
      <c r="H2917">
        <v>2023</v>
      </c>
      <c r="I2917" t="s">
        <v>3032</v>
      </c>
    </row>
    <row r="2918" spans="1:9" x14ac:dyDescent="0.3">
      <c r="A2918" t="s">
        <v>10134</v>
      </c>
      <c r="B2918" t="s">
        <v>26</v>
      </c>
      <c r="C2918">
        <v>7648876604</v>
      </c>
      <c r="D2918" s="2">
        <v>1</v>
      </c>
      <c r="E2918" t="str">
        <f>"4574674200790301"</f>
        <v>4574674200790301</v>
      </c>
      <c r="F2918" t="str">
        <f>"932"</f>
        <v>932</v>
      </c>
      <c r="G2918">
        <v>1</v>
      </c>
      <c r="H2918">
        <v>2023</v>
      </c>
      <c r="I2918" t="s">
        <v>3033</v>
      </c>
    </row>
    <row r="2919" spans="1:9" x14ac:dyDescent="0.3">
      <c r="A2919" t="s">
        <v>10134</v>
      </c>
      <c r="B2919" t="s">
        <v>26</v>
      </c>
      <c r="C2919">
        <v>7648876604</v>
      </c>
      <c r="D2919" s="2">
        <v>1</v>
      </c>
      <c r="E2919" t="str">
        <f>"4574674200790087"</f>
        <v>4574674200790087</v>
      </c>
      <c r="F2919" t="str">
        <f>"679"</f>
        <v>679</v>
      </c>
      <c r="G2919">
        <v>1</v>
      </c>
      <c r="H2919">
        <v>2023</v>
      </c>
      <c r="I2919" t="s">
        <v>3034</v>
      </c>
    </row>
    <row r="2920" spans="1:9" x14ac:dyDescent="0.3">
      <c r="A2920" t="s">
        <v>10135</v>
      </c>
      <c r="B2920" t="s">
        <v>27</v>
      </c>
      <c r="C2920">
        <v>7648876604</v>
      </c>
      <c r="D2920" s="2">
        <v>1</v>
      </c>
      <c r="E2920" t="str">
        <f>"4574674200790319"</f>
        <v>4574674200790319</v>
      </c>
      <c r="F2920" t="str">
        <f>"699"</f>
        <v>699</v>
      </c>
      <c r="G2920">
        <v>1</v>
      </c>
      <c r="H2920">
        <v>2023</v>
      </c>
      <c r="I2920" t="s">
        <v>3035</v>
      </c>
    </row>
    <row r="2921" spans="1:9" x14ac:dyDescent="0.3">
      <c r="A2921" t="s">
        <v>10135</v>
      </c>
      <c r="B2921" t="s">
        <v>27</v>
      </c>
      <c r="C2921">
        <v>7648876604</v>
      </c>
      <c r="D2921" s="2">
        <v>1</v>
      </c>
      <c r="E2921" t="str">
        <f>"4574674200790418"</f>
        <v>4574674200790418</v>
      </c>
      <c r="F2921" t="str">
        <f>"250"</f>
        <v>250</v>
      </c>
      <c r="G2921">
        <v>1</v>
      </c>
      <c r="H2921">
        <v>2023</v>
      </c>
      <c r="I2921" t="s">
        <v>3036</v>
      </c>
    </row>
    <row r="2922" spans="1:9" x14ac:dyDescent="0.3">
      <c r="A2922" t="s">
        <v>10135</v>
      </c>
      <c r="B2922" t="s">
        <v>27</v>
      </c>
      <c r="C2922">
        <v>7648876604</v>
      </c>
      <c r="D2922" s="2">
        <v>1</v>
      </c>
      <c r="E2922" t="str">
        <f>"4574674200790442"</f>
        <v>4574674200790442</v>
      </c>
      <c r="F2922" t="str">
        <f>"617"</f>
        <v>617</v>
      </c>
      <c r="G2922">
        <v>1</v>
      </c>
      <c r="H2922">
        <v>2023</v>
      </c>
      <c r="I2922" t="s">
        <v>3037</v>
      </c>
    </row>
    <row r="2923" spans="1:9" x14ac:dyDescent="0.3">
      <c r="A2923" t="s">
        <v>10135</v>
      </c>
      <c r="B2923" t="s">
        <v>27</v>
      </c>
      <c r="C2923">
        <v>7648876604</v>
      </c>
      <c r="D2923" s="2">
        <v>1</v>
      </c>
      <c r="E2923" t="str">
        <f>"4574674200790616"</f>
        <v>4574674200790616</v>
      </c>
      <c r="F2923" t="str">
        <f>"969"</f>
        <v>969</v>
      </c>
      <c r="G2923">
        <v>1</v>
      </c>
      <c r="H2923">
        <v>2023</v>
      </c>
      <c r="I2923" t="s">
        <v>3038</v>
      </c>
    </row>
    <row r="2924" spans="1:9" x14ac:dyDescent="0.3">
      <c r="A2924" t="s">
        <v>10135</v>
      </c>
      <c r="B2924" t="s">
        <v>27</v>
      </c>
      <c r="C2924">
        <v>7648876604</v>
      </c>
      <c r="D2924" s="2">
        <v>1</v>
      </c>
      <c r="E2924" t="str">
        <f>"4574674200790657"</f>
        <v>4574674200790657</v>
      </c>
      <c r="F2924" t="str">
        <f>"812"</f>
        <v>812</v>
      </c>
      <c r="G2924">
        <v>1</v>
      </c>
      <c r="H2924">
        <v>2023</v>
      </c>
      <c r="I2924" t="s">
        <v>3039</v>
      </c>
    </row>
    <row r="2925" spans="1:9" x14ac:dyDescent="0.3">
      <c r="A2925" t="s">
        <v>10135</v>
      </c>
      <c r="B2925" t="s">
        <v>27</v>
      </c>
      <c r="C2925">
        <v>7648876604</v>
      </c>
      <c r="D2925" s="2">
        <v>1</v>
      </c>
      <c r="E2925" t="str">
        <f>"4574674200790780"</f>
        <v>4574674200790780</v>
      </c>
      <c r="F2925" t="str">
        <f>"478"</f>
        <v>478</v>
      </c>
      <c r="G2925">
        <v>1</v>
      </c>
      <c r="H2925">
        <v>2023</v>
      </c>
      <c r="I2925" t="s">
        <v>3040</v>
      </c>
    </row>
    <row r="2926" spans="1:9" x14ac:dyDescent="0.3">
      <c r="A2926" t="s">
        <v>10135</v>
      </c>
      <c r="B2926" t="s">
        <v>27</v>
      </c>
      <c r="C2926">
        <v>7648876604</v>
      </c>
      <c r="D2926" s="2">
        <v>1</v>
      </c>
      <c r="E2926" t="str">
        <f>"4574674200790491"</f>
        <v>4574674200790491</v>
      </c>
      <c r="F2926" t="str">
        <f>"655"</f>
        <v>655</v>
      </c>
      <c r="G2926">
        <v>1</v>
      </c>
      <c r="H2926">
        <v>2023</v>
      </c>
      <c r="I2926" t="s">
        <v>3041</v>
      </c>
    </row>
    <row r="2927" spans="1:9" x14ac:dyDescent="0.3">
      <c r="A2927" t="s">
        <v>10135</v>
      </c>
      <c r="B2927" t="s">
        <v>27</v>
      </c>
      <c r="C2927">
        <v>7648876604</v>
      </c>
      <c r="D2927" s="2">
        <v>1</v>
      </c>
      <c r="E2927" t="str">
        <f>"4574674200790517"</f>
        <v>4574674200790517</v>
      </c>
      <c r="F2927" t="str">
        <f>"566"</f>
        <v>566</v>
      </c>
      <c r="G2927">
        <v>1</v>
      </c>
      <c r="H2927">
        <v>2023</v>
      </c>
      <c r="I2927" t="s">
        <v>3042</v>
      </c>
    </row>
    <row r="2928" spans="1:9" x14ac:dyDescent="0.3">
      <c r="A2928" t="s">
        <v>10135</v>
      </c>
      <c r="B2928" t="s">
        <v>27</v>
      </c>
      <c r="C2928">
        <v>7648876604</v>
      </c>
      <c r="D2928" s="2">
        <v>1</v>
      </c>
      <c r="E2928" t="str">
        <f>"4574674200790541"</f>
        <v>4574674200790541</v>
      </c>
      <c r="F2928" t="str">
        <f>"291"</f>
        <v>291</v>
      </c>
      <c r="G2928">
        <v>1</v>
      </c>
      <c r="H2928">
        <v>2023</v>
      </c>
      <c r="I2928" t="s">
        <v>3043</v>
      </c>
    </row>
    <row r="2929" spans="1:9" x14ac:dyDescent="0.3">
      <c r="A2929" t="s">
        <v>10135</v>
      </c>
      <c r="B2929" t="s">
        <v>27</v>
      </c>
      <c r="C2929">
        <v>7648876604</v>
      </c>
      <c r="D2929" s="2">
        <v>1</v>
      </c>
      <c r="E2929" t="str">
        <f>"4574674200790558"</f>
        <v>4574674200790558</v>
      </c>
      <c r="F2929" t="str">
        <f>"897"</f>
        <v>897</v>
      </c>
      <c r="G2929">
        <v>1</v>
      </c>
      <c r="H2929">
        <v>2023</v>
      </c>
      <c r="I2929" t="s">
        <v>3044</v>
      </c>
    </row>
    <row r="2930" spans="1:9" x14ac:dyDescent="0.3">
      <c r="A2930" t="s">
        <v>10136</v>
      </c>
      <c r="B2930" t="s">
        <v>28</v>
      </c>
      <c r="C2930">
        <v>7648876604</v>
      </c>
      <c r="D2930" s="2">
        <v>1</v>
      </c>
      <c r="E2930" t="str">
        <f>"4574674200790848"</f>
        <v>4574674200790848</v>
      </c>
      <c r="F2930" t="str">
        <f>"031"</f>
        <v>031</v>
      </c>
      <c r="G2930">
        <v>1</v>
      </c>
      <c r="H2930">
        <v>2023</v>
      </c>
      <c r="I2930" t="s">
        <v>3045</v>
      </c>
    </row>
    <row r="2931" spans="1:9" x14ac:dyDescent="0.3">
      <c r="A2931" t="s">
        <v>10136</v>
      </c>
      <c r="B2931" t="s">
        <v>28</v>
      </c>
      <c r="C2931">
        <v>7648876604</v>
      </c>
      <c r="D2931" s="2">
        <v>1</v>
      </c>
      <c r="E2931" t="str">
        <f>"4574674200790855"</f>
        <v>4574674200790855</v>
      </c>
      <c r="F2931" t="str">
        <f>"331"</f>
        <v>331</v>
      </c>
      <c r="G2931">
        <v>1</v>
      </c>
      <c r="H2931">
        <v>2023</v>
      </c>
      <c r="I2931" t="s">
        <v>3046</v>
      </c>
    </row>
    <row r="2932" spans="1:9" x14ac:dyDescent="0.3">
      <c r="A2932" t="s">
        <v>10136</v>
      </c>
      <c r="B2932" t="s">
        <v>28</v>
      </c>
      <c r="C2932">
        <v>7648876604</v>
      </c>
      <c r="D2932" s="2">
        <v>1</v>
      </c>
      <c r="E2932" t="str">
        <f>"4574674200790582"</f>
        <v>4574674200790582</v>
      </c>
      <c r="F2932" t="str">
        <f>"008"</f>
        <v>008</v>
      </c>
      <c r="G2932">
        <v>1</v>
      </c>
      <c r="H2932">
        <v>2023</v>
      </c>
      <c r="I2932" t="s">
        <v>3047</v>
      </c>
    </row>
    <row r="2933" spans="1:9" x14ac:dyDescent="0.3">
      <c r="A2933" t="s">
        <v>10136</v>
      </c>
      <c r="B2933" t="s">
        <v>28</v>
      </c>
      <c r="C2933">
        <v>7648876604</v>
      </c>
      <c r="D2933" s="2">
        <v>1</v>
      </c>
      <c r="E2933" t="str">
        <f>"4574674200791002"</f>
        <v>4574674200791002</v>
      </c>
      <c r="F2933" t="str">
        <f>"038"</f>
        <v>038</v>
      </c>
      <c r="G2933">
        <v>1</v>
      </c>
      <c r="H2933">
        <v>2023</v>
      </c>
      <c r="I2933" t="s">
        <v>3048</v>
      </c>
    </row>
    <row r="2934" spans="1:9" x14ac:dyDescent="0.3">
      <c r="A2934" t="s">
        <v>10136</v>
      </c>
      <c r="B2934" t="s">
        <v>28</v>
      </c>
      <c r="C2934">
        <v>7648876604</v>
      </c>
      <c r="D2934" s="2">
        <v>1</v>
      </c>
      <c r="E2934" t="str">
        <f>"4574674200790889"</f>
        <v>4574674200790889</v>
      </c>
      <c r="F2934" t="str">
        <f>"243"</f>
        <v>243</v>
      </c>
      <c r="G2934">
        <v>1</v>
      </c>
      <c r="H2934">
        <v>2023</v>
      </c>
      <c r="I2934" t="s">
        <v>3049</v>
      </c>
    </row>
    <row r="2935" spans="1:9" x14ac:dyDescent="0.3">
      <c r="A2935" t="s">
        <v>10136</v>
      </c>
      <c r="B2935" t="s">
        <v>28</v>
      </c>
      <c r="C2935">
        <v>7648876604</v>
      </c>
      <c r="D2935" s="2">
        <v>1</v>
      </c>
      <c r="E2935" t="str">
        <f>"4574674200791036"</f>
        <v>4574674200791036</v>
      </c>
      <c r="F2935" t="str">
        <f>"718"</f>
        <v>718</v>
      </c>
      <c r="G2935">
        <v>1</v>
      </c>
      <c r="H2935">
        <v>2023</v>
      </c>
      <c r="I2935" t="s">
        <v>3050</v>
      </c>
    </row>
    <row r="2936" spans="1:9" x14ac:dyDescent="0.3">
      <c r="A2936" t="s">
        <v>10136</v>
      </c>
      <c r="B2936" t="s">
        <v>28</v>
      </c>
      <c r="C2936">
        <v>7648876604</v>
      </c>
      <c r="D2936" s="2">
        <v>1</v>
      </c>
      <c r="E2936" t="str">
        <f>"4574674200791051"</f>
        <v>4574674200791051</v>
      </c>
      <c r="F2936" t="str">
        <f>"033"</f>
        <v>033</v>
      </c>
      <c r="G2936">
        <v>1</v>
      </c>
      <c r="H2936">
        <v>2023</v>
      </c>
      <c r="I2936" t="s">
        <v>3051</v>
      </c>
    </row>
    <row r="2937" spans="1:9" x14ac:dyDescent="0.3">
      <c r="A2937" t="s">
        <v>10136</v>
      </c>
      <c r="B2937" t="s">
        <v>28</v>
      </c>
      <c r="C2937">
        <v>7648876604</v>
      </c>
      <c r="D2937" s="2">
        <v>1</v>
      </c>
      <c r="E2937" t="str">
        <f>"4574674200790921"</f>
        <v>4574674200790921</v>
      </c>
      <c r="F2937" t="str">
        <f>"842"</f>
        <v>842</v>
      </c>
      <c r="G2937">
        <v>1</v>
      </c>
      <c r="H2937">
        <v>2023</v>
      </c>
      <c r="I2937" t="s">
        <v>3052</v>
      </c>
    </row>
    <row r="2938" spans="1:9" x14ac:dyDescent="0.3">
      <c r="A2938" t="s">
        <v>10136</v>
      </c>
      <c r="B2938" t="s">
        <v>28</v>
      </c>
      <c r="C2938">
        <v>7648876604</v>
      </c>
      <c r="D2938" s="2">
        <v>1</v>
      </c>
      <c r="E2938" t="str">
        <f>"4574674200790939"</f>
        <v>4574674200790939</v>
      </c>
      <c r="F2938" t="str">
        <f>"867"</f>
        <v>867</v>
      </c>
      <c r="G2938">
        <v>1</v>
      </c>
      <c r="H2938">
        <v>2023</v>
      </c>
      <c r="I2938" t="s">
        <v>3053</v>
      </c>
    </row>
    <row r="2939" spans="1:9" x14ac:dyDescent="0.3">
      <c r="A2939" t="s">
        <v>10136</v>
      </c>
      <c r="B2939" t="s">
        <v>28</v>
      </c>
      <c r="C2939">
        <v>7648876604</v>
      </c>
      <c r="D2939" s="2">
        <v>1</v>
      </c>
      <c r="E2939" t="str">
        <f>"4574674200790947"</f>
        <v>4574674200790947</v>
      </c>
      <c r="F2939" t="str">
        <f>"787"</f>
        <v>787</v>
      </c>
      <c r="G2939">
        <v>1</v>
      </c>
      <c r="H2939">
        <v>2023</v>
      </c>
      <c r="I2939" t="s">
        <v>3054</v>
      </c>
    </row>
    <row r="2940" spans="1:9" x14ac:dyDescent="0.3">
      <c r="A2940" t="s">
        <v>10137</v>
      </c>
      <c r="B2940" t="s">
        <v>29</v>
      </c>
      <c r="C2940">
        <v>7648876604</v>
      </c>
      <c r="D2940" s="2">
        <v>1</v>
      </c>
      <c r="E2940" t="str">
        <f>"4574674200791200"</f>
        <v>4574674200791200</v>
      </c>
      <c r="F2940" t="str">
        <f>"867"</f>
        <v>867</v>
      </c>
      <c r="G2940">
        <v>1</v>
      </c>
      <c r="H2940">
        <v>2023</v>
      </c>
      <c r="I2940" t="s">
        <v>3055</v>
      </c>
    </row>
    <row r="2941" spans="1:9" x14ac:dyDescent="0.3">
      <c r="A2941" t="s">
        <v>10137</v>
      </c>
      <c r="B2941" t="s">
        <v>29</v>
      </c>
      <c r="C2941">
        <v>7648876604</v>
      </c>
      <c r="D2941" s="2">
        <v>1</v>
      </c>
      <c r="E2941" t="str">
        <f>"4574674200791234"</f>
        <v>4574674200791234</v>
      </c>
      <c r="F2941" t="str">
        <f>"907"</f>
        <v>907</v>
      </c>
      <c r="G2941">
        <v>1</v>
      </c>
      <c r="H2941">
        <v>2023</v>
      </c>
      <c r="I2941" t="s">
        <v>3056</v>
      </c>
    </row>
    <row r="2942" spans="1:9" x14ac:dyDescent="0.3">
      <c r="A2942" t="s">
        <v>10137</v>
      </c>
      <c r="B2942" t="s">
        <v>29</v>
      </c>
      <c r="C2942">
        <v>7648876604</v>
      </c>
      <c r="D2942" s="2">
        <v>1</v>
      </c>
      <c r="E2942" t="str">
        <f>"4574674200791242"</f>
        <v>4574674200791242</v>
      </c>
      <c r="F2942" t="str">
        <f>"299"</f>
        <v>299</v>
      </c>
      <c r="G2942">
        <v>1</v>
      </c>
      <c r="H2942">
        <v>2023</v>
      </c>
      <c r="I2942" t="s">
        <v>3057</v>
      </c>
    </row>
    <row r="2943" spans="1:9" x14ac:dyDescent="0.3">
      <c r="A2943" t="s">
        <v>10137</v>
      </c>
      <c r="B2943" t="s">
        <v>29</v>
      </c>
      <c r="C2943">
        <v>7648876604</v>
      </c>
      <c r="D2943" s="2">
        <v>1</v>
      </c>
      <c r="E2943" t="str">
        <f>"4574674200791267"</f>
        <v>4574674200791267</v>
      </c>
      <c r="F2943" t="str">
        <f>"012"</f>
        <v>012</v>
      </c>
      <c r="G2943">
        <v>1</v>
      </c>
      <c r="H2943">
        <v>2023</v>
      </c>
      <c r="I2943" t="s">
        <v>3058</v>
      </c>
    </row>
    <row r="2944" spans="1:9" x14ac:dyDescent="0.3">
      <c r="A2944" t="s">
        <v>10137</v>
      </c>
      <c r="B2944" t="s">
        <v>29</v>
      </c>
      <c r="C2944">
        <v>7648876604</v>
      </c>
      <c r="D2944" s="2">
        <v>1</v>
      </c>
      <c r="E2944" t="str">
        <f>"4574674200791275"</f>
        <v>4574674200791275</v>
      </c>
      <c r="F2944" t="str">
        <f>"436"</f>
        <v>436</v>
      </c>
      <c r="G2944">
        <v>1</v>
      </c>
      <c r="H2944">
        <v>2023</v>
      </c>
      <c r="I2944" t="s">
        <v>3059</v>
      </c>
    </row>
    <row r="2945" spans="1:9" x14ac:dyDescent="0.3">
      <c r="A2945" t="s">
        <v>10137</v>
      </c>
      <c r="B2945" t="s">
        <v>29</v>
      </c>
      <c r="C2945">
        <v>7648876604</v>
      </c>
      <c r="D2945" s="2">
        <v>1</v>
      </c>
      <c r="E2945" t="str">
        <f>"4574674200791119"</f>
        <v>4574674200791119</v>
      </c>
      <c r="F2945" t="str">
        <f>"524"</f>
        <v>524</v>
      </c>
      <c r="G2945">
        <v>1</v>
      </c>
      <c r="H2945">
        <v>2023</v>
      </c>
      <c r="I2945" t="s">
        <v>3060</v>
      </c>
    </row>
    <row r="2946" spans="1:9" x14ac:dyDescent="0.3">
      <c r="A2946" t="s">
        <v>10137</v>
      </c>
      <c r="B2946" t="s">
        <v>29</v>
      </c>
      <c r="C2946">
        <v>7648876604</v>
      </c>
      <c r="D2946" s="2">
        <v>1</v>
      </c>
      <c r="E2946" t="str">
        <f>"4574674200791283"</f>
        <v>4574674200791283</v>
      </c>
      <c r="F2946" t="str">
        <f>"470"</f>
        <v>470</v>
      </c>
      <c r="G2946">
        <v>1</v>
      </c>
      <c r="H2946">
        <v>2023</v>
      </c>
      <c r="I2946" t="s">
        <v>3061</v>
      </c>
    </row>
    <row r="2947" spans="1:9" x14ac:dyDescent="0.3">
      <c r="A2947" t="s">
        <v>10137</v>
      </c>
      <c r="B2947" t="s">
        <v>29</v>
      </c>
      <c r="C2947">
        <v>7648876604</v>
      </c>
      <c r="D2947" s="2">
        <v>1</v>
      </c>
      <c r="E2947" t="str">
        <f>"4574674200791416"</f>
        <v>4574674200791416</v>
      </c>
      <c r="F2947" t="str">
        <f>"570"</f>
        <v>570</v>
      </c>
      <c r="G2947">
        <v>1</v>
      </c>
      <c r="H2947">
        <v>2023</v>
      </c>
      <c r="I2947" t="s">
        <v>3062</v>
      </c>
    </row>
    <row r="2948" spans="1:9" x14ac:dyDescent="0.3">
      <c r="A2948" t="s">
        <v>10137</v>
      </c>
      <c r="B2948" t="s">
        <v>29</v>
      </c>
      <c r="C2948">
        <v>7648876604</v>
      </c>
      <c r="D2948" s="2">
        <v>1</v>
      </c>
      <c r="E2948" t="str">
        <f>"4574674200791325"</f>
        <v>4574674200791325</v>
      </c>
      <c r="F2948" t="str">
        <f>"308"</f>
        <v>308</v>
      </c>
      <c r="G2948">
        <v>1</v>
      </c>
      <c r="H2948">
        <v>2023</v>
      </c>
      <c r="I2948" t="s">
        <v>3063</v>
      </c>
    </row>
    <row r="2949" spans="1:9" x14ac:dyDescent="0.3">
      <c r="A2949" t="s">
        <v>10137</v>
      </c>
      <c r="B2949" t="s">
        <v>29</v>
      </c>
      <c r="C2949">
        <v>7648876604</v>
      </c>
      <c r="D2949" s="2">
        <v>1</v>
      </c>
      <c r="E2949" t="str">
        <f>"4574674200791341"</f>
        <v>4574674200791341</v>
      </c>
      <c r="F2949" t="str">
        <f>"514"</f>
        <v>514</v>
      </c>
      <c r="G2949">
        <v>1</v>
      </c>
      <c r="H2949">
        <v>2023</v>
      </c>
      <c r="I2949" t="s">
        <v>3064</v>
      </c>
    </row>
    <row r="2950" spans="1:9" x14ac:dyDescent="0.3">
      <c r="A2950" t="s">
        <v>10138</v>
      </c>
      <c r="B2950" t="s">
        <v>30</v>
      </c>
      <c r="C2950">
        <v>7648876604</v>
      </c>
      <c r="D2950" s="2">
        <v>1</v>
      </c>
      <c r="E2950" t="str">
        <f>"4574674200791374"</f>
        <v>4574674200791374</v>
      </c>
      <c r="F2950" t="str">
        <f>"996"</f>
        <v>996</v>
      </c>
      <c r="G2950">
        <v>1</v>
      </c>
      <c r="H2950">
        <v>2023</v>
      </c>
      <c r="I2950" t="s">
        <v>3065</v>
      </c>
    </row>
    <row r="2951" spans="1:9" x14ac:dyDescent="0.3">
      <c r="A2951" t="s">
        <v>10138</v>
      </c>
      <c r="B2951" t="s">
        <v>30</v>
      </c>
      <c r="C2951">
        <v>7648876604</v>
      </c>
      <c r="D2951" s="2">
        <v>1</v>
      </c>
      <c r="E2951" t="str">
        <f>"4574674200791382"</f>
        <v>4574674200791382</v>
      </c>
      <c r="F2951" t="str">
        <f>"713"</f>
        <v>713</v>
      </c>
      <c r="G2951">
        <v>1</v>
      </c>
      <c r="H2951">
        <v>2023</v>
      </c>
      <c r="I2951" t="s">
        <v>3066</v>
      </c>
    </row>
    <row r="2952" spans="1:9" x14ac:dyDescent="0.3">
      <c r="A2952" t="s">
        <v>10138</v>
      </c>
      <c r="B2952" t="s">
        <v>30</v>
      </c>
      <c r="C2952">
        <v>7648876604</v>
      </c>
      <c r="D2952" s="2">
        <v>1</v>
      </c>
      <c r="E2952" t="str">
        <f>"4574674200791192"</f>
        <v>4574674200791192</v>
      </c>
      <c r="F2952" t="str">
        <f>"536"</f>
        <v>536</v>
      </c>
      <c r="G2952">
        <v>1</v>
      </c>
      <c r="H2952">
        <v>2023</v>
      </c>
      <c r="I2952" t="s">
        <v>3067</v>
      </c>
    </row>
    <row r="2953" spans="1:9" x14ac:dyDescent="0.3">
      <c r="A2953" t="s">
        <v>10138</v>
      </c>
      <c r="B2953" t="s">
        <v>30</v>
      </c>
      <c r="C2953">
        <v>7648876604</v>
      </c>
      <c r="D2953" s="2">
        <v>1</v>
      </c>
      <c r="E2953" t="str">
        <f>"4574674200791432"</f>
        <v>4574674200791432</v>
      </c>
      <c r="F2953" t="str">
        <f>"584"</f>
        <v>584</v>
      </c>
      <c r="G2953">
        <v>1</v>
      </c>
      <c r="H2953">
        <v>2023</v>
      </c>
      <c r="I2953" t="s">
        <v>3068</v>
      </c>
    </row>
    <row r="2954" spans="1:9" x14ac:dyDescent="0.3">
      <c r="A2954" t="s">
        <v>10138</v>
      </c>
      <c r="B2954" t="s">
        <v>30</v>
      </c>
      <c r="C2954">
        <v>7648876604</v>
      </c>
      <c r="D2954" s="2">
        <v>1</v>
      </c>
      <c r="E2954" t="str">
        <f>"4574674200791465"</f>
        <v>4574674200791465</v>
      </c>
      <c r="F2954" t="str">
        <f>"183"</f>
        <v>183</v>
      </c>
      <c r="G2954">
        <v>1</v>
      </c>
      <c r="H2954">
        <v>2023</v>
      </c>
      <c r="I2954" t="s">
        <v>3069</v>
      </c>
    </row>
    <row r="2955" spans="1:9" x14ac:dyDescent="0.3">
      <c r="A2955" t="s">
        <v>10138</v>
      </c>
      <c r="B2955" t="s">
        <v>30</v>
      </c>
      <c r="C2955">
        <v>7648876604</v>
      </c>
      <c r="D2955" s="2">
        <v>1</v>
      </c>
      <c r="E2955" t="str">
        <f>"4574674200791457"</f>
        <v>4574674200791457</v>
      </c>
      <c r="F2955" t="str">
        <f>"602"</f>
        <v>602</v>
      </c>
      <c r="G2955">
        <v>1</v>
      </c>
      <c r="H2955">
        <v>2023</v>
      </c>
      <c r="I2955" t="s">
        <v>3070</v>
      </c>
    </row>
    <row r="2956" spans="1:9" x14ac:dyDescent="0.3">
      <c r="A2956" t="s">
        <v>10138</v>
      </c>
      <c r="B2956" t="s">
        <v>30</v>
      </c>
      <c r="C2956">
        <v>7648876604</v>
      </c>
      <c r="D2956" s="2">
        <v>1</v>
      </c>
      <c r="E2956" t="str">
        <f>"4574674200791499"</f>
        <v>4574674200791499</v>
      </c>
      <c r="F2956" t="str">
        <f>"784"</f>
        <v>784</v>
      </c>
      <c r="G2956">
        <v>1</v>
      </c>
      <c r="H2956">
        <v>2023</v>
      </c>
      <c r="I2956" t="s">
        <v>3071</v>
      </c>
    </row>
    <row r="2957" spans="1:9" x14ac:dyDescent="0.3">
      <c r="A2957" t="s">
        <v>10138</v>
      </c>
      <c r="B2957" t="s">
        <v>30</v>
      </c>
      <c r="C2957">
        <v>7648876604</v>
      </c>
      <c r="D2957" s="2">
        <v>1</v>
      </c>
      <c r="E2957" t="str">
        <f>"4574674200791556"</f>
        <v>4574674200791556</v>
      </c>
      <c r="F2957" t="str">
        <f>"097"</f>
        <v>097</v>
      </c>
      <c r="G2957">
        <v>1</v>
      </c>
      <c r="H2957">
        <v>2023</v>
      </c>
      <c r="I2957" t="s">
        <v>3072</v>
      </c>
    </row>
    <row r="2958" spans="1:9" x14ac:dyDescent="0.3">
      <c r="A2958" t="s">
        <v>10138</v>
      </c>
      <c r="B2958" t="s">
        <v>30</v>
      </c>
      <c r="C2958">
        <v>7648876604</v>
      </c>
      <c r="D2958" s="2">
        <v>1</v>
      </c>
      <c r="E2958" t="str">
        <f>"4574674200791507"</f>
        <v>4574674200791507</v>
      </c>
      <c r="F2958" t="str">
        <f>"462"</f>
        <v>462</v>
      </c>
      <c r="G2958">
        <v>1</v>
      </c>
      <c r="H2958">
        <v>2023</v>
      </c>
      <c r="I2958" t="s">
        <v>3073</v>
      </c>
    </row>
    <row r="2959" spans="1:9" x14ac:dyDescent="0.3">
      <c r="A2959" t="s">
        <v>10138</v>
      </c>
      <c r="B2959" t="s">
        <v>30</v>
      </c>
      <c r="C2959">
        <v>7648876604</v>
      </c>
      <c r="D2959" s="2">
        <v>1</v>
      </c>
      <c r="E2959" t="str">
        <f>"4574674200791598"</f>
        <v>4574674200791598</v>
      </c>
      <c r="F2959" t="str">
        <f>"821"</f>
        <v>821</v>
      </c>
      <c r="G2959">
        <v>1</v>
      </c>
      <c r="H2959">
        <v>2023</v>
      </c>
      <c r="I2959" t="s">
        <v>3074</v>
      </c>
    </row>
    <row r="2960" spans="1:9" x14ac:dyDescent="0.3">
      <c r="A2960" t="s">
        <v>10139</v>
      </c>
      <c r="B2960" t="s">
        <v>31</v>
      </c>
      <c r="C2960">
        <v>7648876604</v>
      </c>
      <c r="D2960" s="2">
        <v>1</v>
      </c>
      <c r="E2960" t="str">
        <f>"4574674200791697"</f>
        <v>4574674200791697</v>
      </c>
      <c r="F2960" t="str">
        <f>"730"</f>
        <v>730</v>
      </c>
      <c r="G2960">
        <v>1</v>
      </c>
      <c r="H2960">
        <v>2023</v>
      </c>
      <c r="I2960" t="s">
        <v>3075</v>
      </c>
    </row>
    <row r="2961" spans="1:9" x14ac:dyDescent="0.3">
      <c r="A2961" t="s">
        <v>10139</v>
      </c>
      <c r="B2961" t="s">
        <v>31</v>
      </c>
      <c r="C2961">
        <v>7648876604</v>
      </c>
      <c r="D2961" s="2">
        <v>1</v>
      </c>
      <c r="E2961" t="str">
        <f>"4574674200791812"</f>
        <v>4574674200791812</v>
      </c>
      <c r="F2961" t="str">
        <f>"420"</f>
        <v>420</v>
      </c>
      <c r="G2961">
        <v>1</v>
      </c>
      <c r="H2961">
        <v>2023</v>
      </c>
      <c r="I2961" t="s">
        <v>3076</v>
      </c>
    </row>
    <row r="2962" spans="1:9" x14ac:dyDescent="0.3">
      <c r="A2962" t="s">
        <v>10139</v>
      </c>
      <c r="B2962" t="s">
        <v>31</v>
      </c>
      <c r="C2962">
        <v>7648876604</v>
      </c>
      <c r="D2962" s="2">
        <v>1</v>
      </c>
      <c r="E2962" t="str">
        <f>"4574674200791838"</f>
        <v>4574674200791838</v>
      </c>
      <c r="F2962" t="str">
        <f>"785"</f>
        <v>785</v>
      </c>
      <c r="G2962">
        <v>1</v>
      </c>
      <c r="H2962">
        <v>2023</v>
      </c>
      <c r="I2962" t="s">
        <v>3077</v>
      </c>
    </row>
    <row r="2963" spans="1:9" x14ac:dyDescent="0.3">
      <c r="A2963" t="s">
        <v>10139</v>
      </c>
      <c r="B2963" t="s">
        <v>31</v>
      </c>
      <c r="C2963">
        <v>7648876604</v>
      </c>
      <c r="D2963" s="2">
        <v>1</v>
      </c>
      <c r="E2963" t="str">
        <f>"4574674200791846"</f>
        <v>4574674200791846</v>
      </c>
      <c r="F2963" t="str">
        <f>"287"</f>
        <v>287</v>
      </c>
      <c r="G2963">
        <v>1</v>
      </c>
      <c r="H2963">
        <v>2023</v>
      </c>
      <c r="I2963" t="s">
        <v>3078</v>
      </c>
    </row>
    <row r="2964" spans="1:9" x14ac:dyDescent="0.3">
      <c r="A2964" t="s">
        <v>10139</v>
      </c>
      <c r="B2964" t="s">
        <v>31</v>
      </c>
      <c r="C2964">
        <v>7648876604</v>
      </c>
      <c r="D2964" s="2">
        <v>1</v>
      </c>
      <c r="E2964" t="str">
        <f>"4574674200791861"</f>
        <v>4574674200791861</v>
      </c>
      <c r="F2964" t="str">
        <f>"147"</f>
        <v>147</v>
      </c>
      <c r="G2964">
        <v>1</v>
      </c>
      <c r="H2964">
        <v>2023</v>
      </c>
      <c r="I2964" t="s">
        <v>3079</v>
      </c>
    </row>
    <row r="2965" spans="1:9" x14ac:dyDescent="0.3">
      <c r="A2965" t="s">
        <v>10139</v>
      </c>
      <c r="B2965" t="s">
        <v>31</v>
      </c>
      <c r="C2965">
        <v>7648876604</v>
      </c>
      <c r="D2965" s="2">
        <v>1</v>
      </c>
      <c r="E2965" t="str">
        <f>"4574674200791895"</f>
        <v>4574674200791895</v>
      </c>
      <c r="F2965" t="str">
        <f>"758"</f>
        <v>758</v>
      </c>
      <c r="G2965">
        <v>1</v>
      </c>
      <c r="H2965">
        <v>2023</v>
      </c>
      <c r="I2965" t="s">
        <v>3080</v>
      </c>
    </row>
    <row r="2966" spans="1:9" x14ac:dyDescent="0.3">
      <c r="A2966" t="s">
        <v>10139</v>
      </c>
      <c r="B2966" t="s">
        <v>31</v>
      </c>
      <c r="C2966">
        <v>7648876604</v>
      </c>
      <c r="D2966" s="2">
        <v>1</v>
      </c>
      <c r="E2966" t="str">
        <f>"4574674200791929"</f>
        <v>4574674200791929</v>
      </c>
      <c r="F2966" t="str">
        <f>"429"</f>
        <v>429</v>
      </c>
      <c r="G2966">
        <v>1</v>
      </c>
      <c r="H2966">
        <v>2023</v>
      </c>
      <c r="I2966" t="s">
        <v>3081</v>
      </c>
    </row>
    <row r="2967" spans="1:9" x14ac:dyDescent="0.3">
      <c r="A2967" t="s">
        <v>10139</v>
      </c>
      <c r="B2967" t="s">
        <v>31</v>
      </c>
      <c r="C2967">
        <v>7648876604</v>
      </c>
      <c r="D2967" s="2">
        <v>1</v>
      </c>
      <c r="E2967" t="str">
        <f>"4574674200792034"</f>
        <v>4574674200792034</v>
      </c>
      <c r="F2967" t="str">
        <f>"433"</f>
        <v>433</v>
      </c>
      <c r="G2967">
        <v>1</v>
      </c>
      <c r="H2967">
        <v>2023</v>
      </c>
      <c r="I2967" t="s">
        <v>3082</v>
      </c>
    </row>
    <row r="2968" spans="1:9" x14ac:dyDescent="0.3">
      <c r="A2968" t="s">
        <v>10139</v>
      </c>
      <c r="B2968" t="s">
        <v>31</v>
      </c>
      <c r="C2968">
        <v>7648876604</v>
      </c>
      <c r="D2968" s="2">
        <v>1</v>
      </c>
      <c r="E2968" t="str">
        <f>"4574674200791978"</f>
        <v>4574674200791978</v>
      </c>
      <c r="F2968" t="str">
        <f>"731"</f>
        <v>731</v>
      </c>
      <c r="G2968">
        <v>1</v>
      </c>
      <c r="H2968">
        <v>2023</v>
      </c>
      <c r="I2968" t="s">
        <v>3083</v>
      </c>
    </row>
    <row r="2969" spans="1:9" x14ac:dyDescent="0.3">
      <c r="A2969" t="s">
        <v>10139</v>
      </c>
      <c r="B2969" t="s">
        <v>31</v>
      </c>
      <c r="C2969">
        <v>7648876604</v>
      </c>
      <c r="D2969" s="2">
        <v>1</v>
      </c>
      <c r="E2969" t="str">
        <f>"4574674200791986"</f>
        <v>4574674200791986</v>
      </c>
      <c r="F2969" t="str">
        <f>"243"</f>
        <v>243</v>
      </c>
      <c r="G2969">
        <v>1</v>
      </c>
      <c r="H2969">
        <v>2023</v>
      </c>
      <c r="I2969" t="s">
        <v>3084</v>
      </c>
    </row>
    <row r="2970" spans="1:9" x14ac:dyDescent="0.3">
      <c r="A2970" t="s">
        <v>10138</v>
      </c>
      <c r="B2970" t="s">
        <v>30</v>
      </c>
      <c r="C2970">
        <v>7648876604</v>
      </c>
      <c r="D2970" s="2">
        <v>1</v>
      </c>
      <c r="E2970" t="str">
        <f>"4574674200792224"</f>
        <v>4574674200792224</v>
      </c>
      <c r="F2970" t="str">
        <f>"673"</f>
        <v>673</v>
      </c>
      <c r="G2970">
        <v>1</v>
      </c>
      <c r="H2970">
        <v>2023</v>
      </c>
      <c r="I2970" t="s">
        <v>3085</v>
      </c>
    </row>
    <row r="2971" spans="1:9" x14ac:dyDescent="0.3">
      <c r="A2971" t="s">
        <v>10138</v>
      </c>
      <c r="B2971" t="s">
        <v>30</v>
      </c>
      <c r="C2971">
        <v>7648876604</v>
      </c>
      <c r="D2971" s="2">
        <v>1</v>
      </c>
      <c r="E2971" t="str">
        <f>"4574674200792232"</f>
        <v>4574674200792232</v>
      </c>
      <c r="F2971" t="str">
        <f>"312"</f>
        <v>312</v>
      </c>
      <c r="G2971">
        <v>1</v>
      </c>
      <c r="H2971">
        <v>2023</v>
      </c>
      <c r="I2971" t="s">
        <v>3086</v>
      </c>
    </row>
    <row r="2972" spans="1:9" x14ac:dyDescent="0.3">
      <c r="A2972" t="s">
        <v>10138</v>
      </c>
      <c r="B2972" t="s">
        <v>30</v>
      </c>
      <c r="C2972">
        <v>7648876604</v>
      </c>
      <c r="D2972" s="2">
        <v>1</v>
      </c>
      <c r="E2972" t="str">
        <f>"4574674200792273"</f>
        <v>4574674200792273</v>
      </c>
      <c r="F2972" t="str">
        <f>"227"</f>
        <v>227</v>
      </c>
      <c r="G2972">
        <v>1</v>
      </c>
      <c r="H2972">
        <v>2023</v>
      </c>
      <c r="I2972" t="s">
        <v>3087</v>
      </c>
    </row>
    <row r="2973" spans="1:9" x14ac:dyDescent="0.3">
      <c r="A2973" t="s">
        <v>10138</v>
      </c>
      <c r="B2973" t="s">
        <v>30</v>
      </c>
      <c r="C2973">
        <v>7648876604</v>
      </c>
      <c r="D2973" s="2">
        <v>1</v>
      </c>
      <c r="E2973" t="str">
        <f>"4574674200792281"</f>
        <v>4574674200792281</v>
      </c>
      <c r="F2973" t="str">
        <f>"830"</f>
        <v>830</v>
      </c>
      <c r="G2973">
        <v>1</v>
      </c>
      <c r="H2973">
        <v>2023</v>
      </c>
      <c r="I2973" t="s">
        <v>3088</v>
      </c>
    </row>
    <row r="2974" spans="1:9" x14ac:dyDescent="0.3">
      <c r="A2974" t="s">
        <v>10138</v>
      </c>
      <c r="B2974" t="s">
        <v>30</v>
      </c>
      <c r="C2974">
        <v>7648876604</v>
      </c>
      <c r="D2974" s="2">
        <v>1</v>
      </c>
      <c r="E2974" t="str">
        <f>"4574674200792323"</f>
        <v>4574674200792323</v>
      </c>
      <c r="F2974" t="str">
        <f>"076"</f>
        <v>076</v>
      </c>
      <c r="G2974">
        <v>1</v>
      </c>
      <c r="H2974">
        <v>2023</v>
      </c>
      <c r="I2974" t="s">
        <v>3089</v>
      </c>
    </row>
    <row r="2975" spans="1:9" x14ac:dyDescent="0.3">
      <c r="A2975" t="s">
        <v>10138</v>
      </c>
      <c r="B2975" t="s">
        <v>30</v>
      </c>
      <c r="C2975">
        <v>7648876604</v>
      </c>
      <c r="D2975" s="2">
        <v>1</v>
      </c>
      <c r="E2975" t="str">
        <f>"4574674200792349"</f>
        <v>4574674200792349</v>
      </c>
      <c r="F2975" t="str">
        <f>"534"</f>
        <v>534</v>
      </c>
      <c r="G2975">
        <v>1</v>
      </c>
      <c r="H2975">
        <v>2023</v>
      </c>
      <c r="I2975" t="s">
        <v>3090</v>
      </c>
    </row>
    <row r="2976" spans="1:9" x14ac:dyDescent="0.3">
      <c r="A2976" t="s">
        <v>10138</v>
      </c>
      <c r="B2976" t="s">
        <v>30</v>
      </c>
      <c r="C2976">
        <v>7648876604</v>
      </c>
      <c r="D2976" s="2">
        <v>1</v>
      </c>
      <c r="E2976" t="str">
        <f>"4574674200792398"</f>
        <v>4574674200792398</v>
      </c>
      <c r="F2976" t="str">
        <f>"622"</f>
        <v>622</v>
      </c>
      <c r="G2976">
        <v>1</v>
      </c>
      <c r="H2976">
        <v>2023</v>
      </c>
      <c r="I2976" t="s">
        <v>3091</v>
      </c>
    </row>
    <row r="2977" spans="1:9" x14ac:dyDescent="0.3">
      <c r="A2977" t="s">
        <v>10138</v>
      </c>
      <c r="B2977" t="s">
        <v>30</v>
      </c>
      <c r="C2977">
        <v>7648876604</v>
      </c>
      <c r="D2977" s="2">
        <v>1</v>
      </c>
      <c r="E2977" t="str">
        <f>"4574674200792414"</f>
        <v>4574674200792414</v>
      </c>
      <c r="F2977" t="str">
        <f>"289"</f>
        <v>289</v>
      </c>
      <c r="G2977">
        <v>1</v>
      </c>
      <c r="H2977">
        <v>2023</v>
      </c>
      <c r="I2977" t="s">
        <v>3092</v>
      </c>
    </row>
    <row r="2978" spans="1:9" x14ac:dyDescent="0.3">
      <c r="A2978" t="s">
        <v>10138</v>
      </c>
      <c r="B2978" t="s">
        <v>30</v>
      </c>
      <c r="C2978">
        <v>7648876604</v>
      </c>
      <c r="D2978" s="2">
        <v>1</v>
      </c>
      <c r="E2978" t="str">
        <f>"4574674200792430"</f>
        <v>4574674200792430</v>
      </c>
      <c r="F2978" t="str">
        <f>"513"</f>
        <v>513</v>
      </c>
      <c r="G2978">
        <v>1</v>
      </c>
      <c r="H2978">
        <v>2023</v>
      </c>
      <c r="I2978" t="s">
        <v>3093</v>
      </c>
    </row>
    <row r="2979" spans="1:9" x14ac:dyDescent="0.3">
      <c r="A2979" t="s">
        <v>10138</v>
      </c>
      <c r="B2979" t="s">
        <v>30</v>
      </c>
      <c r="C2979">
        <v>7648876604</v>
      </c>
      <c r="D2979" s="2">
        <v>1</v>
      </c>
      <c r="E2979" t="str">
        <f>"4574674200792422"</f>
        <v>4574674200792422</v>
      </c>
      <c r="F2979" t="str">
        <f>"779"</f>
        <v>779</v>
      </c>
      <c r="G2979">
        <v>1</v>
      </c>
      <c r="H2979">
        <v>2023</v>
      </c>
      <c r="I2979" t="s">
        <v>3094</v>
      </c>
    </row>
    <row r="2980" spans="1:9" x14ac:dyDescent="0.3">
      <c r="A2980" t="s">
        <v>10140</v>
      </c>
      <c r="B2980" t="s">
        <v>32</v>
      </c>
      <c r="C2980">
        <v>7648876604</v>
      </c>
      <c r="D2980" s="2">
        <v>1</v>
      </c>
      <c r="E2980" t="str">
        <f>"4574674200792505"</f>
        <v>4574674200792505</v>
      </c>
      <c r="F2980" t="str">
        <f>"958"</f>
        <v>958</v>
      </c>
      <c r="G2980">
        <v>1</v>
      </c>
      <c r="H2980">
        <v>2023</v>
      </c>
      <c r="I2980" t="s">
        <v>3095</v>
      </c>
    </row>
    <row r="2981" spans="1:9" x14ac:dyDescent="0.3">
      <c r="A2981" t="s">
        <v>10140</v>
      </c>
      <c r="B2981" t="s">
        <v>32</v>
      </c>
      <c r="C2981">
        <v>7648876604</v>
      </c>
      <c r="D2981" s="2">
        <v>1</v>
      </c>
      <c r="E2981" t="str">
        <f>"4574674200792190"</f>
        <v>4574674200792190</v>
      </c>
      <c r="F2981" t="str">
        <f>"627"</f>
        <v>627</v>
      </c>
      <c r="G2981">
        <v>1</v>
      </c>
      <c r="H2981">
        <v>2023</v>
      </c>
      <c r="I2981" t="s">
        <v>3096</v>
      </c>
    </row>
    <row r="2982" spans="1:9" x14ac:dyDescent="0.3">
      <c r="A2982" t="s">
        <v>10140</v>
      </c>
      <c r="B2982" t="s">
        <v>32</v>
      </c>
      <c r="C2982">
        <v>7648876604</v>
      </c>
      <c r="D2982" s="2">
        <v>1</v>
      </c>
      <c r="E2982" t="str">
        <f>"4574674200792539"</f>
        <v>4574674200792539</v>
      </c>
      <c r="F2982" t="str">
        <f>"541"</f>
        <v>541</v>
      </c>
      <c r="G2982">
        <v>1</v>
      </c>
      <c r="H2982">
        <v>2023</v>
      </c>
      <c r="I2982" t="s">
        <v>3097</v>
      </c>
    </row>
    <row r="2983" spans="1:9" x14ac:dyDescent="0.3">
      <c r="A2983" t="s">
        <v>10140</v>
      </c>
      <c r="B2983" t="s">
        <v>32</v>
      </c>
      <c r="C2983">
        <v>7648876604</v>
      </c>
      <c r="D2983" s="2">
        <v>1</v>
      </c>
      <c r="E2983" t="str">
        <f>"4574674200792562"</f>
        <v>4574674200792562</v>
      </c>
      <c r="F2983" t="str">
        <f>"190"</f>
        <v>190</v>
      </c>
      <c r="G2983">
        <v>1</v>
      </c>
      <c r="H2983">
        <v>2023</v>
      </c>
      <c r="I2983" t="s">
        <v>3098</v>
      </c>
    </row>
    <row r="2984" spans="1:9" x14ac:dyDescent="0.3">
      <c r="A2984" t="s">
        <v>10140</v>
      </c>
      <c r="B2984" t="s">
        <v>32</v>
      </c>
      <c r="C2984">
        <v>7648876604</v>
      </c>
      <c r="D2984" s="2">
        <v>1</v>
      </c>
      <c r="E2984" t="str">
        <f>"4574674200792596"</f>
        <v>4574674200792596</v>
      </c>
      <c r="F2984" t="str">
        <f>"722"</f>
        <v>722</v>
      </c>
      <c r="G2984">
        <v>1</v>
      </c>
      <c r="H2984">
        <v>2023</v>
      </c>
      <c r="I2984" t="s">
        <v>3099</v>
      </c>
    </row>
    <row r="2985" spans="1:9" x14ac:dyDescent="0.3">
      <c r="A2985" t="s">
        <v>10140</v>
      </c>
      <c r="B2985" t="s">
        <v>32</v>
      </c>
      <c r="C2985">
        <v>7648876604</v>
      </c>
      <c r="D2985" s="2">
        <v>1</v>
      </c>
      <c r="E2985" t="str">
        <f>"4574674200792570"</f>
        <v>4574674200792570</v>
      </c>
      <c r="F2985" t="str">
        <f>"113"</f>
        <v>113</v>
      </c>
      <c r="G2985">
        <v>1</v>
      </c>
      <c r="H2985">
        <v>2023</v>
      </c>
      <c r="I2985" t="s">
        <v>3100</v>
      </c>
    </row>
    <row r="2986" spans="1:9" x14ac:dyDescent="0.3">
      <c r="A2986" t="s">
        <v>10140</v>
      </c>
      <c r="B2986" t="s">
        <v>32</v>
      </c>
      <c r="C2986">
        <v>7648876604</v>
      </c>
      <c r="D2986" s="2">
        <v>1</v>
      </c>
      <c r="E2986" t="str">
        <f>"4574674200792828"</f>
        <v>4574674200792828</v>
      </c>
      <c r="F2986" t="str">
        <f>"303"</f>
        <v>303</v>
      </c>
      <c r="G2986">
        <v>1</v>
      </c>
      <c r="H2986">
        <v>2023</v>
      </c>
      <c r="I2986" t="s">
        <v>3101</v>
      </c>
    </row>
    <row r="2987" spans="1:9" x14ac:dyDescent="0.3">
      <c r="A2987" t="s">
        <v>10140</v>
      </c>
      <c r="B2987" t="s">
        <v>32</v>
      </c>
      <c r="C2987">
        <v>7648876604</v>
      </c>
      <c r="D2987" s="2">
        <v>1</v>
      </c>
      <c r="E2987" t="str">
        <f>"4574674200792836"</f>
        <v>4574674200792836</v>
      </c>
      <c r="F2987" t="str">
        <f>"837"</f>
        <v>837</v>
      </c>
      <c r="G2987">
        <v>1</v>
      </c>
      <c r="H2987">
        <v>2023</v>
      </c>
      <c r="I2987" t="s">
        <v>3102</v>
      </c>
    </row>
    <row r="2988" spans="1:9" x14ac:dyDescent="0.3">
      <c r="A2988" t="s">
        <v>10140</v>
      </c>
      <c r="B2988" t="s">
        <v>32</v>
      </c>
      <c r="C2988">
        <v>7648876604</v>
      </c>
      <c r="D2988" s="2">
        <v>1</v>
      </c>
      <c r="E2988" t="str">
        <f>"4574674200792893"</f>
        <v>4574674200792893</v>
      </c>
      <c r="F2988" t="str">
        <f>"775"</f>
        <v>775</v>
      </c>
      <c r="G2988">
        <v>1</v>
      </c>
      <c r="H2988">
        <v>2023</v>
      </c>
      <c r="I2988" t="s">
        <v>3103</v>
      </c>
    </row>
    <row r="2989" spans="1:9" x14ac:dyDescent="0.3">
      <c r="A2989" t="s">
        <v>10140</v>
      </c>
      <c r="B2989" t="s">
        <v>32</v>
      </c>
      <c r="C2989">
        <v>7648876604</v>
      </c>
      <c r="D2989" s="2">
        <v>1</v>
      </c>
      <c r="E2989" t="str">
        <f>"4574674200792927"</f>
        <v>4574674200792927</v>
      </c>
      <c r="F2989" t="str">
        <f>"454"</f>
        <v>454</v>
      </c>
      <c r="G2989">
        <v>1</v>
      </c>
      <c r="H2989">
        <v>2023</v>
      </c>
      <c r="I2989" t="s">
        <v>3104</v>
      </c>
    </row>
    <row r="2990" spans="1:9" x14ac:dyDescent="0.3">
      <c r="A2990" t="s">
        <v>10141</v>
      </c>
      <c r="B2990" t="s">
        <v>33</v>
      </c>
      <c r="C2990">
        <v>7648876604</v>
      </c>
      <c r="D2990" s="2">
        <v>1</v>
      </c>
      <c r="E2990" t="str">
        <f>"4574674200792703"</f>
        <v>4574674200792703</v>
      </c>
      <c r="F2990" t="str">
        <f>"727"</f>
        <v>727</v>
      </c>
      <c r="G2990">
        <v>1</v>
      </c>
      <c r="H2990">
        <v>2023</v>
      </c>
      <c r="I2990" t="s">
        <v>3105</v>
      </c>
    </row>
    <row r="2991" spans="1:9" x14ac:dyDescent="0.3">
      <c r="A2991" t="s">
        <v>10141</v>
      </c>
      <c r="B2991" t="s">
        <v>33</v>
      </c>
      <c r="C2991">
        <v>7648876604</v>
      </c>
      <c r="D2991" s="2">
        <v>1</v>
      </c>
      <c r="E2991" t="str">
        <f>"4574674200792935"</f>
        <v>4574674200792935</v>
      </c>
      <c r="F2991" t="str">
        <f>"784"</f>
        <v>784</v>
      </c>
      <c r="G2991">
        <v>1</v>
      </c>
      <c r="H2991">
        <v>2023</v>
      </c>
      <c r="I2991" t="s">
        <v>3106</v>
      </c>
    </row>
    <row r="2992" spans="1:9" x14ac:dyDescent="0.3">
      <c r="A2992" t="s">
        <v>10141</v>
      </c>
      <c r="B2992" t="s">
        <v>33</v>
      </c>
      <c r="C2992">
        <v>7648876604</v>
      </c>
      <c r="D2992" s="2">
        <v>1</v>
      </c>
      <c r="E2992" t="str">
        <f>"4574674200792950"</f>
        <v>4574674200792950</v>
      </c>
      <c r="F2992" t="str">
        <f>"334"</f>
        <v>334</v>
      </c>
      <c r="G2992">
        <v>1</v>
      </c>
      <c r="H2992">
        <v>2023</v>
      </c>
      <c r="I2992" t="s">
        <v>3107</v>
      </c>
    </row>
    <row r="2993" spans="1:9" x14ac:dyDescent="0.3">
      <c r="A2993" t="s">
        <v>10141</v>
      </c>
      <c r="B2993" t="s">
        <v>33</v>
      </c>
      <c r="C2993">
        <v>7648876604</v>
      </c>
      <c r="D2993" s="2">
        <v>1</v>
      </c>
      <c r="E2993" t="str">
        <f>"4574674200792976"</f>
        <v>4574674200792976</v>
      </c>
      <c r="F2993" t="str">
        <f>"677"</f>
        <v>677</v>
      </c>
      <c r="G2993">
        <v>1</v>
      </c>
      <c r="H2993">
        <v>2023</v>
      </c>
      <c r="I2993" t="s">
        <v>3108</v>
      </c>
    </row>
    <row r="2994" spans="1:9" x14ac:dyDescent="0.3">
      <c r="A2994" t="s">
        <v>10141</v>
      </c>
      <c r="B2994" t="s">
        <v>33</v>
      </c>
      <c r="C2994">
        <v>7648876604</v>
      </c>
      <c r="D2994" s="2">
        <v>1</v>
      </c>
      <c r="E2994" t="str">
        <f>"4574674200793008"</f>
        <v>4574674200793008</v>
      </c>
      <c r="F2994" t="str">
        <f>"758"</f>
        <v>758</v>
      </c>
      <c r="G2994">
        <v>1</v>
      </c>
      <c r="H2994">
        <v>2023</v>
      </c>
      <c r="I2994" t="s">
        <v>3109</v>
      </c>
    </row>
    <row r="2995" spans="1:9" x14ac:dyDescent="0.3">
      <c r="A2995" t="s">
        <v>10141</v>
      </c>
      <c r="B2995" t="s">
        <v>33</v>
      </c>
      <c r="C2995">
        <v>7648876604</v>
      </c>
      <c r="D2995" s="2">
        <v>1</v>
      </c>
      <c r="E2995" t="str">
        <f>"4574674200793065"</f>
        <v>4574674200793065</v>
      </c>
      <c r="F2995" t="str">
        <f>"427"</f>
        <v>427</v>
      </c>
      <c r="G2995">
        <v>1</v>
      </c>
      <c r="H2995">
        <v>2023</v>
      </c>
      <c r="I2995" t="s">
        <v>3110</v>
      </c>
    </row>
    <row r="2996" spans="1:9" x14ac:dyDescent="0.3">
      <c r="A2996" t="s">
        <v>10141</v>
      </c>
      <c r="B2996" t="s">
        <v>33</v>
      </c>
      <c r="C2996">
        <v>7648876604</v>
      </c>
      <c r="D2996" s="2">
        <v>1</v>
      </c>
      <c r="E2996" t="str">
        <f>"4574674200793057"</f>
        <v>4574674200793057</v>
      </c>
      <c r="F2996" t="str">
        <f>"529"</f>
        <v>529</v>
      </c>
      <c r="G2996">
        <v>1</v>
      </c>
      <c r="H2996">
        <v>2023</v>
      </c>
      <c r="I2996" t="s">
        <v>3111</v>
      </c>
    </row>
    <row r="2997" spans="1:9" x14ac:dyDescent="0.3">
      <c r="A2997" t="s">
        <v>10141</v>
      </c>
      <c r="B2997" t="s">
        <v>33</v>
      </c>
      <c r="C2997">
        <v>7648876604</v>
      </c>
      <c r="D2997" s="2">
        <v>1</v>
      </c>
      <c r="E2997" t="str">
        <f>"4574674200793099"</f>
        <v>4574674200793099</v>
      </c>
      <c r="F2997" t="str">
        <f>"547"</f>
        <v>547</v>
      </c>
      <c r="G2997">
        <v>1</v>
      </c>
      <c r="H2997">
        <v>2023</v>
      </c>
      <c r="I2997" t="s">
        <v>3112</v>
      </c>
    </row>
    <row r="2998" spans="1:9" x14ac:dyDescent="0.3">
      <c r="A2998" t="s">
        <v>10141</v>
      </c>
      <c r="B2998" t="s">
        <v>33</v>
      </c>
      <c r="C2998">
        <v>7648876604</v>
      </c>
      <c r="D2998" s="2">
        <v>1</v>
      </c>
      <c r="E2998" t="str">
        <f>"4574674200793149"</f>
        <v>4574674200793149</v>
      </c>
      <c r="F2998" t="str">
        <f>"559"</f>
        <v>559</v>
      </c>
      <c r="G2998">
        <v>1</v>
      </c>
      <c r="H2998">
        <v>2023</v>
      </c>
      <c r="I2998" t="s">
        <v>3113</v>
      </c>
    </row>
    <row r="2999" spans="1:9" x14ac:dyDescent="0.3">
      <c r="A2999" t="s">
        <v>10141</v>
      </c>
      <c r="B2999" t="s">
        <v>33</v>
      </c>
      <c r="C2999">
        <v>7648876604</v>
      </c>
      <c r="D2999" s="2">
        <v>1</v>
      </c>
      <c r="E2999" t="str">
        <f>"4574674200793164"</f>
        <v>4574674200793164</v>
      </c>
      <c r="F2999" t="str">
        <f>"336"</f>
        <v>336</v>
      </c>
      <c r="G2999">
        <v>1</v>
      </c>
      <c r="H2999">
        <v>2023</v>
      </c>
      <c r="I2999" t="s">
        <v>3114</v>
      </c>
    </row>
    <row r="3000" spans="1:9" x14ac:dyDescent="0.3">
      <c r="A3000" t="s">
        <v>10142</v>
      </c>
      <c r="B3000" t="s">
        <v>34</v>
      </c>
      <c r="C3000">
        <v>7648876604</v>
      </c>
      <c r="D3000" s="2">
        <v>1</v>
      </c>
      <c r="E3000" t="str">
        <f>"4574674200793230"</f>
        <v>4574674200793230</v>
      </c>
      <c r="F3000" t="str">
        <f>"637"</f>
        <v>637</v>
      </c>
      <c r="G3000">
        <v>1</v>
      </c>
      <c r="H3000">
        <v>2023</v>
      </c>
      <c r="I3000" t="s">
        <v>3115</v>
      </c>
    </row>
    <row r="3001" spans="1:9" x14ac:dyDescent="0.3">
      <c r="A3001" t="s">
        <v>10142</v>
      </c>
      <c r="B3001" t="s">
        <v>34</v>
      </c>
      <c r="C3001">
        <v>7648876604</v>
      </c>
      <c r="D3001" s="2">
        <v>1</v>
      </c>
      <c r="E3001" t="str">
        <f>"4574674200793180"</f>
        <v>4574674200793180</v>
      </c>
      <c r="F3001" t="str">
        <f>"566"</f>
        <v>566</v>
      </c>
      <c r="G3001">
        <v>1</v>
      </c>
      <c r="H3001">
        <v>2023</v>
      </c>
      <c r="I3001" t="s">
        <v>3116</v>
      </c>
    </row>
    <row r="3002" spans="1:9" x14ac:dyDescent="0.3">
      <c r="A3002" t="s">
        <v>10142</v>
      </c>
      <c r="B3002" t="s">
        <v>34</v>
      </c>
      <c r="C3002">
        <v>7648876604</v>
      </c>
      <c r="D3002" s="2">
        <v>1</v>
      </c>
      <c r="E3002" t="str">
        <f>"4574674200793412"</f>
        <v>4574674200793412</v>
      </c>
      <c r="F3002" t="str">
        <f>"891"</f>
        <v>891</v>
      </c>
      <c r="G3002">
        <v>1</v>
      </c>
      <c r="H3002">
        <v>2023</v>
      </c>
      <c r="I3002" t="s">
        <v>3117</v>
      </c>
    </row>
    <row r="3003" spans="1:9" x14ac:dyDescent="0.3">
      <c r="A3003" t="s">
        <v>10142</v>
      </c>
      <c r="B3003" t="s">
        <v>34</v>
      </c>
      <c r="C3003">
        <v>7648876604</v>
      </c>
      <c r="D3003" s="2">
        <v>1</v>
      </c>
      <c r="E3003" t="str">
        <f>"4574674200793438"</f>
        <v>4574674200793438</v>
      </c>
      <c r="F3003" t="str">
        <f>"889"</f>
        <v>889</v>
      </c>
      <c r="G3003">
        <v>1</v>
      </c>
      <c r="H3003">
        <v>2023</v>
      </c>
      <c r="I3003" t="s">
        <v>3118</v>
      </c>
    </row>
    <row r="3004" spans="1:9" x14ac:dyDescent="0.3">
      <c r="A3004" t="s">
        <v>10142</v>
      </c>
      <c r="B3004" t="s">
        <v>34</v>
      </c>
      <c r="C3004">
        <v>7648876604</v>
      </c>
      <c r="D3004" s="2">
        <v>1</v>
      </c>
      <c r="E3004" t="str">
        <f>"4574674200793453"</f>
        <v>4574674200793453</v>
      </c>
      <c r="F3004" t="str">
        <f>"913"</f>
        <v>913</v>
      </c>
      <c r="G3004">
        <v>1</v>
      </c>
      <c r="H3004">
        <v>2023</v>
      </c>
      <c r="I3004" t="s">
        <v>3119</v>
      </c>
    </row>
    <row r="3005" spans="1:9" x14ac:dyDescent="0.3">
      <c r="A3005" t="s">
        <v>10142</v>
      </c>
      <c r="B3005" t="s">
        <v>34</v>
      </c>
      <c r="C3005">
        <v>7648876604</v>
      </c>
      <c r="D3005" s="2">
        <v>1</v>
      </c>
      <c r="E3005" t="str">
        <f>"4574674200793511"</f>
        <v>4574674200793511</v>
      </c>
      <c r="F3005" t="str">
        <f>"968"</f>
        <v>968</v>
      </c>
      <c r="G3005">
        <v>1</v>
      </c>
      <c r="H3005">
        <v>2023</v>
      </c>
      <c r="I3005" t="s">
        <v>3120</v>
      </c>
    </row>
    <row r="3006" spans="1:9" x14ac:dyDescent="0.3">
      <c r="A3006" t="s">
        <v>10142</v>
      </c>
      <c r="B3006" t="s">
        <v>34</v>
      </c>
      <c r="C3006">
        <v>7648876604</v>
      </c>
      <c r="D3006" s="2">
        <v>1</v>
      </c>
      <c r="E3006" t="str">
        <f>"4574674200793537"</f>
        <v>4574674200793537</v>
      </c>
      <c r="F3006" t="str">
        <f>"446"</f>
        <v>446</v>
      </c>
      <c r="G3006">
        <v>1</v>
      </c>
      <c r="H3006">
        <v>2023</v>
      </c>
      <c r="I3006" t="s">
        <v>3121</v>
      </c>
    </row>
    <row r="3007" spans="1:9" x14ac:dyDescent="0.3">
      <c r="A3007" t="s">
        <v>10142</v>
      </c>
      <c r="B3007" t="s">
        <v>34</v>
      </c>
      <c r="C3007">
        <v>7648876604</v>
      </c>
      <c r="D3007" s="2">
        <v>1</v>
      </c>
      <c r="E3007" t="str">
        <f>"4574674200793545"</f>
        <v>4574674200793545</v>
      </c>
      <c r="F3007" t="str">
        <f>"812"</f>
        <v>812</v>
      </c>
      <c r="G3007">
        <v>1</v>
      </c>
      <c r="H3007">
        <v>2023</v>
      </c>
      <c r="I3007" t="s">
        <v>3122</v>
      </c>
    </row>
    <row r="3008" spans="1:9" x14ac:dyDescent="0.3">
      <c r="A3008" t="s">
        <v>10142</v>
      </c>
      <c r="B3008" t="s">
        <v>34</v>
      </c>
      <c r="C3008">
        <v>7648876604</v>
      </c>
      <c r="D3008" s="2">
        <v>1</v>
      </c>
      <c r="E3008" t="str">
        <f>"4574674200793560"</f>
        <v>4574674200793560</v>
      </c>
      <c r="F3008" t="str">
        <f>"240"</f>
        <v>240</v>
      </c>
      <c r="G3008">
        <v>1</v>
      </c>
      <c r="H3008">
        <v>2023</v>
      </c>
      <c r="I3008" t="s">
        <v>3123</v>
      </c>
    </row>
    <row r="3009" spans="1:9" x14ac:dyDescent="0.3">
      <c r="A3009" t="s">
        <v>10142</v>
      </c>
      <c r="B3009" t="s">
        <v>34</v>
      </c>
      <c r="C3009">
        <v>7648876604</v>
      </c>
      <c r="D3009" s="2">
        <v>1</v>
      </c>
      <c r="E3009" t="str">
        <f>"4574674200793602"</f>
        <v>4574674200793602</v>
      </c>
      <c r="F3009" t="str">
        <f>"734"</f>
        <v>734</v>
      </c>
      <c r="G3009">
        <v>1</v>
      </c>
      <c r="H3009">
        <v>2023</v>
      </c>
      <c r="I3009" t="s">
        <v>3124</v>
      </c>
    </row>
    <row r="3010" spans="1:9" x14ac:dyDescent="0.3">
      <c r="A3010" t="s">
        <v>10143</v>
      </c>
      <c r="B3010" t="s">
        <v>35</v>
      </c>
      <c r="C3010">
        <v>7648876604</v>
      </c>
      <c r="D3010" s="2">
        <v>1</v>
      </c>
      <c r="E3010" t="str">
        <f>"4574674200793362"</f>
        <v>4574674200793362</v>
      </c>
      <c r="F3010" t="str">
        <f>"565"</f>
        <v>565</v>
      </c>
      <c r="G3010">
        <v>1</v>
      </c>
      <c r="H3010">
        <v>2023</v>
      </c>
      <c r="I3010" t="s">
        <v>3125</v>
      </c>
    </row>
    <row r="3011" spans="1:9" x14ac:dyDescent="0.3">
      <c r="A3011" t="s">
        <v>10143</v>
      </c>
      <c r="B3011" t="s">
        <v>35</v>
      </c>
      <c r="C3011">
        <v>7648876604</v>
      </c>
      <c r="D3011" s="2">
        <v>1</v>
      </c>
      <c r="E3011" t="str">
        <f>"4574674200793693"</f>
        <v>4574674200793693</v>
      </c>
      <c r="F3011" t="str">
        <f>"011"</f>
        <v>011</v>
      </c>
      <c r="G3011">
        <v>1</v>
      </c>
      <c r="H3011">
        <v>2023</v>
      </c>
      <c r="I3011" t="s">
        <v>3126</v>
      </c>
    </row>
    <row r="3012" spans="1:9" x14ac:dyDescent="0.3">
      <c r="A3012" t="s">
        <v>10143</v>
      </c>
      <c r="B3012" t="s">
        <v>35</v>
      </c>
      <c r="C3012">
        <v>7648876604</v>
      </c>
      <c r="D3012" s="2">
        <v>1</v>
      </c>
      <c r="E3012" t="str">
        <f>"4574674200793651"</f>
        <v>4574674200793651</v>
      </c>
      <c r="F3012" t="str">
        <f>"915"</f>
        <v>915</v>
      </c>
      <c r="G3012">
        <v>1</v>
      </c>
      <c r="H3012">
        <v>2023</v>
      </c>
      <c r="I3012" t="s">
        <v>3127</v>
      </c>
    </row>
    <row r="3013" spans="1:9" x14ac:dyDescent="0.3">
      <c r="A3013" t="s">
        <v>10143</v>
      </c>
      <c r="B3013" t="s">
        <v>35</v>
      </c>
      <c r="C3013">
        <v>7648876604</v>
      </c>
      <c r="D3013" s="2">
        <v>1</v>
      </c>
      <c r="E3013" t="str">
        <f>"4574674200793685"</f>
        <v>4574674200793685</v>
      </c>
      <c r="F3013" t="str">
        <f>"197"</f>
        <v>197</v>
      </c>
      <c r="G3013">
        <v>1</v>
      </c>
      <c r="H3013">
        <v>2023</v>
      </c>
      <c r="I3013" t="s">
        <v>3128</v>
      </c>
    </row>
    <row r="3014" spans="1:9" x14ac:dyDescent="0.3">
      <c r="A3014" t="s">
        <v>10143</v>
      </c>
      <c r="B3014" t="s">
        <v>35</v>
      </c>
      <c r="C3014">
        <v>7648876604</v>
      </c>
      <c r="D3014" s="2">
        <v>1</v>
      </c>
      <c r="E3014" t="str">
        <f>"4574674200793727"</f>
        <v>4574674200793727</v>
      </c>
      <c r="F3014" t="str">
        <f>"818"</f>
        <v>818</v>
      </c>
      <c r="G3014">
        <v>1</v>
      </c>
      <c r="H3014">
        <v>2023</v>
      </c>
      <c r="I3014" t="s">
        <v>3129</v>
      </c>
    </row>
    <row r="3015" spans="1:9" x14ac:dyDescent="0.3">
      <c r="A3015" t="s">
        <v>10143</v>
      </c>
      <c r="B3015" t="s">
        <v>35</v>
      </c>
      <c r="C3015">
        <v>7648876604</v>
      </c>
      <c r="D3015" s="2">
        <v>1</v>
      </c>
      <c r="E3015" t="str">
        <f>"4574674200793750"</f>
        <v>4574674200793750</v>
      </c>
      <c r="F3015" t="str">
        <f>"900"</f>
        <v>900</v>
      </c>
      <c r="G3015">
        <v>1</v>
      </c>
      <c r="H3015">
        <v>2023</v>
      </c>
      <c r="I3015" t="s">
        <v>3130</v>
      </c>
    </row>
    <row r="3016" spans="1:9" x14ac:dyDescent="0.3">
      <c r="A3016" t="s">
        <v>10143</v>
      </c>
      <c r="B3016" t="s">
        <v>35</v>
      </c>
      <c r="C3016">
        <v>7648876604</v>
      </c>
      <c r="D3016" s="2">
        <v>1</v>
      </c>
      <c r="E3016" t="str">
        <f>"4574674200793768"</f>
        <v>4574674200793768</v>
      </c>
      <c r="F3016" t="str">
        <f>"027"</f>
        <v>027</v>
      </c>
      <c r="G3016">
        <v>1</v>
      </c>
      <c r="H3016">
        <v>2023</v>
      </c>
      <c r="I3016" t="s">
        <v>3131</v>
      </c>
    </row>
    <row r="3017" spans="1:9" x14ac:dyDescent="0.3">
      <c r="A3017" t="s">
        <v>10143</v>
      </c>
      <c r="B3017" t="s">
        <v>35</v>
      </c>
      <c r="C3017">
        <v>7648876604</v>
      </c>
      <c r="D3017" s="2">
        <v>1</v>
      </c>
      <c r="E3017" t="str">
        <f>"4574674200793859"</f>
        <v>4574674200793859</v>
      </c>
      <c r="F3017" t="str">
        <f>"662"</f>
        <v>662</v>
      </c>
      <c r="G3017">
        <v>1</v>
      </c>
      <c r="H3017">
        <v>2023</v>
      </c>
      <c r="I3017" t="s">
        <v>3132</v>
      </c>
    </row>
    <row r="3018" spans="1:9" x14ac:dyDescent="0.3">
      <c r="A3018" t="s">
        <v>10143</v>
      </c>
      <c r="B3018" t="s">
        <v>35</v>
      </c>
      <c r="C3018">
        <v>7648876604</v>
      </c>
      <c r="D3018" s="2">
        <v>1</v>
      </c>
      <c r="E3018" t="str">
        <f>"4574674200793776"</f>
        <v>4574674200793776</v>
      </c>
      <c r="F3018" t="str">
        <f>"632"</f>
        <v>632</v>
      </c>
      <c r="G3018">
        <v>1</v>
      </c>
      <c r="H3018">
        <v>2023</v>
      </c>
      <c r="I3018" t="s">
        <v>3133</v>
      </c>
    </row>
    <row r="3019" spans="1:9" x14ac:dyDescent="0.3">
      <c r="A3019" t="s">
        <v>10143</v>
      </c>
      <c r="B3019" t="s">
        <v>35</v>
      </c>
      <c r="C3019">
        <v>7648876604</v>
      </c>
      <c r="D3019" s="2">
        <v>1</v>
      </c>
      <c r="E3019" t="str">
        <f>"4574674200794030"</f>
        <v>4574674200794030</v>
      </c>
      <c r="F3019" t="str">
        <f>"058"</f>
        <v>058</v>
      </c>
      <c r="G3019">
        <v>1</v>
      </c>
      <c r="H3019">
        <v>2023</v>
      </c>
      <c r="I3019" t="s">
        <v>3134</v>
      </c>
    </row>
    <row r="3020" spans="1:9" x14ac:dyDescent="0.3">
      <c r="A3020" t="s">
        <v>10144</v>
      </c>
      <c r="B3020" t="s">
        <v>36</v>
      </c>
      <c r="C3020">
        <v>7648876604</v>
      </c>
      <c r="D3020" s="2">
        <v>1</v>
      </c>
      <c r="E3020" t="str">
        <f>"4574674200794055"</f>
        <v>4574674200794055</v>
      </c>
      <c r="F3020" t="str">
        <f>"228"</f>
        <v>228</v>
      </c>
      <c r="G3020">
        <v>1</v>
      </c>
      <c r="H3020">
        <v>2023</v>
      </c>
      <c r="I3020" t="s">
        <v>3135</v>
      </c>
    </row>
    <row r="3021" spans="1:9" x14ac:dyDescent="0.3">
      <c r="A3021" t="s">
        <v>10144</v>
      </c>
      <c r="B3021" t="s">
        <v>36</v>
      </c>
      <c r="C3021">
        <v>7648876604</v>
      </c>
      <c r="D3021" s="2">
        <v>1</v>
      </c>
      <c r="E3021" t="str">
        <f>"4574674200794022"</f>
        <v>4574674200794022</v>
      </c>
      <c r="F3021" t="str">
        <f>"831"</f>
        <v>831</v>
      </c>
      <c r="G3021">
        <v>1</v>
      </c>
      <c r="H3021">
        <v>2023</v>
      </c>
      <c r="I3021" t="s">
        <v>3136</v>
      </c>
    </row>
    <row r="3022" spans="1:9" x14ac:dyDescent="0.3">
      <c r="A3022" t="s">
        <v>10144</v>
      </c>
      <c r="B3022" t="s">
        <v>36</v>
      </c>
      <c r="C3022">
        <v>7648876604</v>
      </c>
      <c r="D3022" s="2">
        <v>1</v>
      </c>
      <c r="E3022" t="str">
        <f>"4574674200794113"</f>
        <v>4574674200794113</v>
      </c>
      <c r="F3022" t="str">
        <f>"775"</f>
        <v>775</v>
      </c>
      <c r="G3022">
        <v>1</v>
      </c>
      <c r="H3022">
        <v>2023</v>
      </c>
      <c r="I3022" t="s">
        <v>3137</v>
      </c>
    </row>
    <row r="3023" spans="1:9" x14ac:dyDescent="0.3">
      <c r="A3023" t="s">
        <v>10144</v>
      </c>
      <c r="B3023" t="s">
        <v>36</v>
      </c>
      <c r="C3023">
        <v>7648876604</v>
      </c>
      <c r="D3023" s="2">
        <v>1</v>
      </c>
      <c r="E3023" t="str">
        <f>"4574674200794121"</f>
        <v>4574674200794121</v>
      </c>
      <c r="F3023" t="str">
        <f>"080"</f>
        <v>080</v>
      </c>
      <c r="G3023">
        <v>1</v>
      </c>
      <c r="H3023">
        <v>2023</v>
      </c>
      <c r="I3023" t="s">
        <v>3138</v>
      </c>
    </row>
    <row r="3024" spans="1:9" x14ac:dyDescent="0.3">
      <c r="A3024" t="s">
        <v>10144</v>
      </c>
      <c r="B3024" t="s">
        <v>36</v>
      </c>
      <c r="C3024">
        <v>7648876604</v>
      </c>
      <c r="D3024" s="2">
        <v>1</v>
      </c>
      <c r="E3024" t="str">
        <f>"4574674200794154"</f>
        <v>4574674200794154</v>
      </c>
      <c r="F3024" t="str">
        <f>"359"</f>
        <v>359</v>
      </c>
      <c r="G3024">
        <v>1</v>
      </c>
      <c r="H3024">
        <v>2023</v>
      </c>
      <c r="I3024" t="s">
        <v>3139</v>
      </c>
    </row>
    <row r="3025" spans="1:9" x14ac:dyDescent="0.3">
      <c r="A3025" t="s">
        <v>10144</v>
      </c>
      <c r="B3025" t="s">
        <v>36</v>
      </c>
      <c r="C3025">
        <v>7648876604</v>
      </c>
      <c r="D3025" s="2">
        <v>1</v>
      </c>
      <c r="E3025" t="str">
        <f>"4574674200794162"</f>
        <v>4574674200794162</v>
      </c>
      <c r="F3025" t="str">
        <f>"055"</f>
        <v>055</v>
      </c>
      <c r="G3025">
        <v>1</v>
      </c>
      <c r="H3025">
        <v>2023</v>
      </c>
      <c r="I3025" t="s">
        <v>3140</v>
      </c>
    </row>
    <row r="3026" spans="1:9" x14ac:dyDescent="0.3">
      <c r="A3026" t="s">
        <v>10144</v>
      </c>
      <c r="B3026" t="s">
        <v>36</v>
      </c>
      <c r="C3026">
        <v>7648876604</v>
      </c>
      <c r="D3026" s="2">
        <v>1</v>
      </c>
      <c r="E3026" t="str">
        <f>"4574674200793958"</f>
        <v>4574674200793958</v>
      </c>
      <c r="F3026" t="str">
        <f>"003"</f>
        <v>003</v>
      </c>
      <c r="G3026">
        <v>1</v>
      </c>
      <c r="H3026">
        <v>2023</v>
      </c>
      <c r="I3026" t="s">
        <v>3141</v>
      </c>
    </row>
    <row r="3027" spans="1:9" x14ac:dyDescent="0.3">
      <c r="A3027" t="s">
        <v>10144</v>
      </c>
      <c r="B3027" t="s">
        <v>36</v>
      </c>
      <c r="C3027">
        <v>7648876604</v>
      </c>
      <c r="D3027" s="2">
        <v>1</v>
      </c>
      <c r="E3027" t="str">
        <f>"4574674200794196"</f>
        <v>4574674200794196</v>
      </c>
      <c r="F3027" t="str">
        <f>"728"</f>
        <v>728</v>
      </c>
      <c r="G3027">
        <v>1</v>
      </c>
      <c r="H3027">
        <v>2023</v>
      </c>
      <c r="I3027" t="s">
        <v>3142</v>
      </c>
    </row>
    <row r="3028" spans="1:9" x14ac:dyDescent="0.3">
      <c r="A3028" t="s">
        <v>10144</v>
      </c>
      <c r="B3028" t="s">
        <v>36</v>
      </c>
      <c r="C3028">
        <v>7648876604</v>
      </c>
      <c r="D3028" s="2">
        <v>1</v>
      </c>
      <c r="E3028" t="str">
        <f>"4574674200794204"</f>
        <v>4574674200794204</v>
      </c>
      <c r="F3028" t="str">
        <f>"332"</f>
        <v>332</v>
      </c>
      <c r="G3028">
        <v>1</v>
      </c>
      <c r="H3028">
        <v>2023</v>
      </c>
      <c r="I3028" t="s">
        <v>3143</v>
      </c>
    </row>
    <row r="3029" spans="1:9" x14ac:dyDescent="0.3">
      <c r="A3029" t="s">
        <v>10144</v>
      </c>
      <c r="B3029" t="s">
        <v>36</v>
      </c>
      <c r="C3029">
        <v>7648876604</v>
      </c>
      <c r="D3029" s="2">
        <v>1</v>
      </c>
      <c r="E3029" t="str">
        <f>"4574674200794220"</f>
        <v>4574674200794220</v>
      </c>
      <c r="F3029" t="str">
        <f>"358"</f>
        <v>358</v>
      </c>
      <c r="G3029">
        <v>1</v>
      </c>
      <c r="H3029">
        <v>2023</v>
      </c>
      <c r="I3029" t="s">
        <v>3144</v>
      </c>
    </row>
    <row r="3030" spans="1:9" x14ac:dyDescent="0.3">
      <c r="A3030" t="s">
        <v>10145</v>
      </c>
      <c r="B3030" t="s">
        <v>37</v>
      </c>
      <c r="C3030">
        <v>7648876604</v>
      </c>
      <c r="D3030" s="2">
        <v>1</v>
      </c>
      <c r="E3030" t="str">
        <f>"4574674200794253"</f>
        <v>4574674200794253</v>
      </c>
      <c r="F3030" t="str">
        <f>"456"</f>
        <v>456</v>
      </c>
      <c r="G3030">
        <v>1</v>
      </c>
      <c r="H3030">
        <v>2023</v>
      </c>
      <c r="I3030" t="s">
        <v>3145</v>
      </c>
    </row>
    <row r="3031" spans="1:9" x14ac:dyDescent="0.3">
      <c r="A3031" t="s">
        <v>10145</v>
      </c>
      <c r="B3031" t="s">
        <v>37</v>
      </c>
      <c r="C3031">
        <v>7648876604</v>
      </c>
      <c r="D3031" s="2">
        <v>1</v>
      </c>
      <c r="E3031" t="str">
        <f>"4574674200794303"</f>
        <v>4574674200794303</v>
      </c>
      <c r="F3031" t="str">
        <f>"104"</f>
        <v>104</v>
      </c>
      <c r="G3031">
        <v>1</v>
      </c>
      <c r="H3031">
        <v>2023</v>
      </c>
      <c r="I3031" t="s">
        <v>3146</v>
      </c>
    </row>
    <row r="3032" spans="1:9" x14ac:dyDescent="0.3">
      <c r="A3032" t="s">
        <v>10145</v>
      </c>
      <c r="B3032" t="s">
        <v>37</v>
      </c>
      <c r="C3032">
        <v>7648876604</v>
      </c>
      <c r="D3032" s="2">
        <v>1</v>
      </c>
      <c r="E3032" t="str">
        <f>"4574674200794386"</f>
        <v>4574674200794386</v>
      </c>
      <c r="F3032" t="str">
        <f>"810"</f>
        <v>810</v>
      </c>
      <c r="G3032">
        <v>1</v>
      </c>
      <c r="H3032">
        <v>2023</v>
      </c>
      <c r="I3032" t="s">
        <v>3147</v>
      </c>
    </row>
    <row r="3033" spans="1:9" x14ac:dyDescent="0.3">
      <c r="A3033" t="s">
        <v>10145</v>
      </c>
      <c r="B3033" t="s">
        <v>37</v>
      </c>
      <c r="C3033">
        <v>7648876604</v>
      </c>
      <c r="D3033" s="2">
        <v>1</v>
      </c>
      <c r="E3033" t="str">
        <f>"4574674200794428"</f>
        <v>4574674200794428</v>
      </c>
      <c r="F3033" t="str">
        <f>"832"</f>
        <v>832</v>
      </c>
      <c r="G3033">
        <v>1</v>
      </c>
      <c r="H3033">
        <v>2023</v>
      </c>
      <c r="I3033" t="s">
        <v>3148</v>
      </c>
    </row>
    <row r="3034" spans="1:9" x14ac:dyDescent="0.3">
      <c r="A3034" t="s">
        <v>10145</v>
      </c>
      <c r="B3034" t="s">
        <v>37</v>
      </c>
      <c r="C3034">
        <v>7648876604</v>
      </c>
      <c r="D3034" s="2">
        <v>1</v>
      </c>
      <c r="E3034" t="str">
        <f>"4574674200794618"</f>
        <v>4574674200794618</v>
      </c>
      <c r="F3034" t="str">
        <f>"439"</f>
        <v>439</v>
      </c>
      <c r="G3034">
        <v>1</v>
      </c>
      <c r="H3034">
        <v>2023</v>
      </c>
      <c r="I3034" t="s">
        <v>3149</v>
      </c>
    </row>
    <row r="3035" spans="1:9" x14ac:dyDescent="0.3">
      <c r="A3035" t="s">
        <v>10145</v>
      </c>
      <c r="B3035" t="s">
        <v>37</v>
      </c>
      <c r="C3035">
        <v>7648876604</v>
      </c>
      <c r="D3035" s="2">
        <v>1</v>
      </c>
      <c r="E3035" t="str">
        <f>"4574674200794501"</f>
        <v>4574674200794501</v>
      </c>
      <c r="F3035" t="str">
        <f>"594"</f>
        <v>594</v>
      </c>
      <c r="G3035">
        <v>1</v>
      </c>
      <c r="H3035">
        <v>2023</v>
      </c>
      <c r="I3035" t="s">
        <v>3150</v>
      </c>
    </row>
    <row r="3036" spans="1:9" x14ac:dyDescent="0.3">
      <c r="A3036" t="s">
        <v>10145</v>
      </c>
      <c r="B3036" t="s">
        <v>37</v>
      </c>
      <c r="C3036">
        <v>7648876604</v>
      </c>
      <c r="D3036" s="2">
        <v>1</v>
      </c>
      <c r="E3036" t="str">
        <f>"4574674200794550"</f>
        <v>4574674200794550</v>
      </c>
      <c r="F3036" t="str">
        <f>"516"</f>
        <v>516</v>
      </c>
      <c r="G3036">
        <v>1</v>
      </c>
      <c r="H3036">
        <v>2023</v>
      </c>
      <c r="I3036" t="s">
        <v>3151</v>
      </c>
    </row>
    <row r="3037" spans="1:9" x14ac:dyDescent="0.3">
      <c r="A3037" t="s">
        <v>10145</v>
      </c>
      <c r="B3037" t="s">
        <v>37</v>
      </c>
      <c r="C3037">
        <v>7648876604</v>
      </c>
      <c r="D3037" s="2">
        <v>1</v>
      </c>
      <c r="E3037" t="str">
        <f>"4574674200794543"</f>
        <v>4574674200794543</v>
      </c>
      <c r="F3037" t="str">
        <f>"935"</f>
        <v>935</v>
      </c>
      <c r="G3037">
        <v>1</v>
      </c>
      <c r="H3037">
        <v>2023</v>
      </c>
      <c r="I3037" t="s">
        <v>3152</v>
      </c>
    </row>
    <row r="3038" spans="1:9" x14ac:dyDescent="0.3">
      <c r="A3038" t="s">
        <v>10145</v>
      </c>
      <c r="B3038" t="s">
        <v>37</v>
      </c>
      <c r="C3038">
        <v>7648876604</v>
      </c>
      <c r="D3038" s="2">
        <v>1</v>
      </c>
      <c r="E3038" t="str">
        <f>"4574674200794568"</f>
        <v>4574674200794568</v>
      </c>
      <c r="F3038" t="str">
        <f>"209"</f>
        <v>209</v>
      </c>
      <c r="G3038">
        <v>1</v>
      </c>
      <c r="H3038">
        <v>2023</v>
      </c>
      <c r="I3038" t="s">
        <v>3153</v>
      </c>
    </row>
    <row r="3039" spans="1:9" x14ac:dyDescent="0.3">
      <c r="A3039" t="s">
        <v>10145</v>
      </c>
      <c r="B3039" t="s">
        <v>37</v>
      </c>
      <c r="C3039">
        <v>7648876604</v>
      </c>
      <c r="D3039" s="2">
        <v>1</v>
      </c>
      <c r="E3039" t="str">
        <f>"4574674200794576"</f>
        <v>4574674200794576</v>
      </c>
      <c r="F3039" t="str">
        <f>"533"</f>
        <v>533</v>
      </c>
      <c r="G3039">
        <v>1</v>
      </c>
      <c r="H3039">
        <v>2023</v>
      </c>
      <c r="I3039" t="s">
        <v>3154</v>
      </c>
    </row>
    <row r="3040" spans="1:9" x14ac:dyDescent="0.3">
      <c r="A3040" t="s">
        <v>10146</v>
      </c>
      <c r="B3040" t="s">
        <v>38</v>
      </c>
      <c r="C3040">
        <v>7648876604</v>
      </c>
      <c r="D3040" s="2">
        <v>1</v>
      </c>
      <c r="E3040" t="str">
        <f>"4574674200794584"</f>
        <v>4574674200794584</v>
      </c>
      <c r="F3040" t="str">
        <f>"595"</f>
        <v>595</v>
      </c>
      <c r="G3040">
        <v>1</v>
      </c>
      <c r="H3040">
        <v>2023</v>
      </c>
      <c r="I3040" t="s">
        <v>3155</v>
      </c>
    </row>
    <row r="3041" spans="1:9" x14ac:dyDescent="0.3">
      <c r="A3041" t="s">
        <v>10146</v>
      </c>
      <c r="B3041" t="s">
        <v>38</v>
      </c>
      <c r="C3041">
        <v>7648876604</v>
      </c>
      <c r="D3041" s="2">
        <v>1</v>
      </c>
      <c r="E3041" t="str">
        <f>"4574674200794899"</f>
        <v>4574674200794899</v>
      </c>
      <c r="F3041" t="str">
        <f>"625"</f>
        <v>625</v>
      </c>
      <c r="G3041">
        <v>1</v>
      </c>
      <c r="H3041">
        <v>2023</v>
      </c>
      <c r="I3041" t="s">
        <v>3156</v>
      </c>
    </row>
    <row r="3042" spans="1:9" x14ac:dyDescent="0.3">
      <c r="A3042" t="s">
        <v>10146</v>
      </c>
      <c r="B3042" t="s">
        <v>38</v>
      </c>
      <c r="C3042">
        <v>7648876604</v>
      </c>
      <c r="D3042" s="2">
        <v>1</v>
      </c>
      <c r="E3042" t="str">
        <f>"4574674200794907"</f>
        <v>4574674200794907</v>
      </c>
      <c r="F3042" t="str">
        <f>"945"</f>
        <v>945</v>
      </c>
      <c r="G3042">
        <v>1</v>
      </c>
      <c r="H3042">
        <v>2023</v>
      </c>
      <c r="I3042" t="s">
        <v>3157</v>
      </c>
    </row>
    <row r="3043" spans="1:9" x14ac:dyDescent="0.3">
      <c r="A3043" t="s">
        <v>10146</v>
      </c>
      <c r="B3043" t="s">
        <v>38</v>
      </c>
      <c r="C3043">
        <v>7648876604</v>
      </c>
      <c r="D3043" s="2">
        <v>1</v>
      </c>
      <c r="E3043" t="str">
        <f>"4574674200794915"</f>
        <v>4574674200794915</v>
      </c>
      <c r="F3043" t="str">
        <f>"957"</f>
        <v>957</v>
      </c>
      <c r="G3043">
        <v>1</v>
      </c>
      <c r="H3043">
        <v>2023</v>
      </c>
      <c r="I3043" t="s">
        <v>3158</v>
      </c>
    </row>
    <row r="3044" spans="1:9" x14ac:dyDescent="0.3">
      <c r="A3044" t="s">
        <v>10146</v>
      </c>
      <c r="B3044" t="s">
        <v>38</v>
      </c>
      <c r="C3044">
        <v>7648876604</v>
      </c>
      <c r="D3044" s="2">
        <v>1</v>
      </c>
      <c r="E3044" t="str">
        <f>"4574674200794923"</f>
        <v>4574674200794923</v>
      </c>
      <c r="F3044" t="str">
        <f>"429"</f>
        <v>429</v>
      </c>
      <c r="G3044">
        <v>1</v>
      </c>
      <c r="H3044">
        <v>2023</v>
      </c>
      <c r="I3044" t="s">
        <v>3159</v>
      </c>
    </row>
    <row r="3045" spans="1:9" x14ac:dyDescent="0.3">
      <c r="A3045" t="s">
        <v>10146</v>
      </c>
      <c r="B3045" t="s">
        <v>38</v>
      </c>
      <c r="C3045">
        <v>7648876604</v>
      </c>
      <c r="D3045" s="2">
        <v>1</v>
      </c>
      <c r="E3045" t="str">
        <f>"4574674200794931"</f>
        <v>4574674200794931</v>
      </c>
      <c r="F3045" t="str">
        <f>"648"</f>
        <v>648</v>
      </c>
      <c r="G3045">
        <v>1</v>
      </c>
      <c r="H3045">
        <v>2023</v>
      </c>
      <c r="I3045" t="s">
        <v>3160</v>
      </c>
    </row>
    <row r="3046" spans="1:9" x14ac:dyDescent="0.3">
      <c r="A3046" t="s">
        <v>10146</v>
      </c>
      <c r="B3046" t="s">
        <v>38</v>
      </c>
      <c r="C3046">
        <v>7648876604</v>
      </c>
      <c r="D3046" s="2">
        <v>1</v>
      </c>
      <c r="E3046" t="str">
        <f>"4574674200794675"</f>
        <v>4574674200794675</v>
      </c>
      <c r="F3046" t="str">
        <f>"843"</f>
        <v>843</v>
      </c>
      <c r="G3046">
        <v>1</v>
      </c>
      <c r="H3046">
        <v>2023</v>
      </c>
      <c r="I3046" t="s">
        <v>3161</v>
      </c>
    </row>
    <row r="3047" spans="1:9" x14ac:dyDescent="0.3">
      <c r="A3047" t="s">
        <v>10146</v>
      </c>
      <c r="B3047" t="s">
        <v>38</v>
      </c>
      <c r="C3047">
        <v>7648876604</v>
      </c>
      <c r="D3047" s="2">
        <v>1</v>
      </c>
      <c r="E3047" t="str">
        <f>"4574674200794998"</f>
        <v>4574674200794998</v>
      </c>
      <c r="F3047" t="str">
        <f>"037"</f>
        <v>037</v>
      </c>
      <c r="G3047">
        <v>1</v>
      </c>
      <c r="H3047">
        <v>2023</v>
      </c>
      <c r="I3047" t="s">
        <v>3162</v>
      </c>
    </row>
    <row r="3048" spans="1:9" x14ac:dyDescent="0.3">
      <c r="A3048" t="s">
        <v>10146</v>
      </c>
      <c r="B3048" t="s">
        <v>38</v>
      </c>
      <c r="C3048">
        <v>7648876604</v>
      </c>
      <c r="D3048" s="2">
        <v>1</v>
      </c>
      <c r="E3048" t="str">
        <f>"4574674200795003"</f>
        <v>4574674200795003</v>
      </c>
      <c r="F3048" t="str">
        <f>"149"</f>
        <v>149</v>
      </c>
      <c r="G3048">
        <v>1</v>
      </c>
      <c r="H3048">
        <v>2023</v>
      </c>
      <c r="I3048" t="s">
        <v>3163</v>
      </c>
    </row>
    <row r="3049" spans="1:9" x14ac:dyDescent="0.3">
      <c r="A3049" t="s">
        <v>10146</v>
      </c>
      <c r="B3049" t="s">
        <v>38</v>
      </c>
      <c r="C3049">
        <v>7648876604</v>
      </c>
      <c r="D3049" s="2">
        <v>1</v>
      </c>
      <c r="E3049" t="str">
        <f>"4574674200795011"</f>
        <v>4574674200795011</v>
      </c>
      <c r="F3049" t="str">
        <f>"845"</f>
        <v>845</v>
      </c>
      <c r="G3049">
        <v>1</v>
      </c>
      <c r="H3049">
        <v>2023</v>
      </c>
      <c r="I3049" t="s">
        <v>3164</v>
      </c>
    </row>
    <row r="3050" spans="1:9" x14ac:dyDescent="0.3">
      <c r="A3050" t="s">
        <v>10147</v>
      </c>
      <c r="B3050" t="s">
        <v>39</v>
      </c>
      <c r="C3050">
        <v>7648876604</v>
      </c>
      <c r="D3050" s="2">
        <v>1</v>
      </c>
      <c r="E3050" t="str">
        <f>"4574674200795045"</f>
        <v>4574674200795045</v>
      </c>
      <c r="F3050" t="str">
        <f>"280"</f>
        <v>280</v>
      </c>
      <c r="G3050">
        <v>1</v>
      </c>
      <c r="H3050">
        <v>2023</v>
      </c>
      <c r="I3050" t="s">
        <v>3165</v>
      </c>
    </row>
    <row r="3051" spans="1:9" x14ac:dyDescent="0.3">
      <c r="A3051" t="s">
        <v>10147</v>
      </c>
      <c r="B3051" t="s">
        <v>39</v>
      </c>
      <c r="C3051">
        <v>7648876604</v>
      </c>
      <c r="D3051" s="2">
        <v>1</v>
      </c>
      <c r="E3051" t="str">
        <f>"4574674200795060"</f>
        <v>4574674200795060</v>
      </c>
      <c r="F3051" t="str">
        <f>"063"</f>
        <v>063</v>
      </c>
      <c r="G3051">
        <v>1</v>
      </c>
      <c r="H3051">
        <v>2023</v>
      </c>
      <c r="I3051" t="s">
        <v>3166</v>
      </c>
    </row>
    <row r="3052" spans="1:9" x14ac:dyDescent="0.3">
      <c r="A3052" t="s">
        <v>10147</v>
      </c>
      <c r="B3052" t="s">
        <v>39</v>
      </c>
      <c r="C3052">
        <v>7648876604</v>
      </c>
      <c r="D3052" s="2">
        <v>1</v>
      </c>
      <c r="E3052" t="str">
        <f>"4574674200795086"</f>
        <v>4574674200795086</v>
      </c>
      <c r="F3052" t="str">
        <f>"789"</f>
        <v>789</v>
      </c>
      <c r="G3052">
        <v>1</v>
      </c>
      <c r="H3052">
        <v>2023</v>
      </c>
      <c r="I3052" t="s">
        <v>3167</v>
      </c>
    </row>
    <row r="3053" spans="1:9" x14ac:dyDescent="0.3">
      <c r="A3053" t="s">
        <v>10147</v>
      </c>
      <c r="B3053" t="s">
        <v>39</v>
      </c>
      <c r="C3053">
        <v>7648876604</v>
      </c>
      <c r="D3053" s="2">
        <v>1</v>
      </c>
      <c r="E3053" t="str">
        <f>"4574674200795128"</f>
        <v>4574674200795128</v>
      </c>
      <c r="F3053" t="str">
        <f>"291"</f>
        <v>291</v>
      </c>
      <c r="G3053">
        <v>1</v>
      </c>
      <c r="H3053">
        <v>2023</v>
      </c>
      <c r="I3053" t="s">
        <v>3168</v>
      </c>
    </row>
    <row r="3054" spans="1:9" x14ac:dyDescent="0.3">
      <c r="A3054" t="s">
        <v>10147</v>
      </c>
      <c r="B3054" t="s">
        <v>39</v>
      </c>
      <c r="C3054">
        <v>7648876604</v>
      </c>
      <c r="D3054" s="2">
        <v>1</v>
      </c>
      <c r="E3054" t="str">
        <f>"4574674200795144"</f>
        <v>4574674200795144</v>
      </c>
      <c r="F3054" t="str">
        <f>"606"</f>
        <v>606</v>
      </c>
      <c r="G3054">
        <v>1</v>
      </c>
      <c r="H3054">
        <v>2023</v>
      </c>
      <c r="I3054" t="s">
        <v>3169</v>
      </c>
    </row>
    <row r="3055" spans="1:9" x14ac:dyDescent="0.3">
      <c r="A3055" t="s">
        <v>10147</v>
      </c>
      <c r="B3055" t="s">
        <v>39</v>
      </c>
      <c r="C3055">
        <v>7648876604</v>
      </c>
      <c r="D3055" s="2">
        <v>1</v>
      </c>
      <c r="E3055" t="str">
        <f>"4574674200795151"</f>
        <v>4574674200795151</v>
      </c>
      <c r="F3055" t="str">
        <f>"815"</f>
        <v>815</v>
      </c>
      <c r="G3055">
        <v>1</v>
      </c>
      <c r="H3055">
        <v>2023</v>
      </c>
      <c r="I3055" t="s">
        <v>3170</v>
      </c>
    </row>
    <row r="3056" spans="1:9" x14ac:dyDescent="0.3">
      <c r="A3056" t="s">
        <v>10147</v>
      </c>
      <c r="B3056" t="s">
        <v>39</v>
      </c>
      <c r="C3056">
        <v>7648876604</v>
      </c>
      <c r="D3056" s="2">
        <v>1</v>
      </c>
      <c r="E3056" t="str">
        <f>"4574674200795169"</f>
        <v>4574674200795169</v>
      </c>
      <c r="F3056" t="str">
        <f>"125"</f>
        <v>125</v>
      </c>
      <c r="G3056">
        <v>1</v>
      </c>
      <c r="H3056">
        <v>2023</v>
      </c>
      <c r="I3056" t="s">
        <v>3171</v>
      </c>
    </row>
    <row r="3057" spans="1:9" x14ac:dyDescent="0.3">
      <c r="A3057" t="s">
        <v>10147</v>
      </c>
      <c r="B3057" t="s">
        <v>39</v>
      </c>
      <c r="C3057">
        <v>7648876604</v>
      </c>
      <c r="D3057" s="2">
        <v>1</v>
      </c>
      <c r="E3057" t="str">
        <f>"4574674200795235"</f>
        <v>4574674200795235</v>
      </c>
      <c r="F3057" t="str">
        <f>"457"</f>
        <v>457</v>
      </c>
      <c r="G3057">
        <v>1</v>
      </c>
      <c r="H3057">
        <v>2023</v>
      </c>
      <c r="I3057" t="s">
        <v>3172</v>
      </c>
    </row>
    <row r="3058" spans="1:9" x14ac:dyDescent="0.3">
      <c r="A3058" t="s">
        <v>10147</v>
      </c>
      <c r="B3058" t="s">
        <v>39</v>
      </c>
      <c r="C3058">
        <v>7648876604</v>
      </c>
      <c r="D3058" s="2">
        <v>1</v>
      </c>
      <c r="E3058" t="str">
        <f>"4574674200794733"</f>
        <v>4574674200794733</v>
      </c>
      <c r="F3058" t="str">
        <f>"479"</f>
        <v>479</v>
      </c>
      <c r="G3058">
        <v>1</v>
      </c>
      <c r="H3058">
        <v>2023</v>
      </c>
      <c r="I3058" t="s">
        <v>3173</v>
      </c>
    </row>
    <row r="3059" spans="1:9" x14ac:dyDescent="0.3">
      <c r="A3059" t="s">
        <v>10147</v>
      </c>
      <c r="B3059" t="s">
        <v>39</v>
      </c>
      <c r="C3059">
        <v>7648876604</v>
      </c>
      <c r="D3059" s="2">
        <v>1</v>
      </c>
      <c r="E3059" t="str">
        <f>"4574674200795243"</f>
        <v>4574674200795243</v>
      </c>
      <c r="F3059" t="str">
        <f>"890"</f>
        <v>890</v>
      </c>
      <c r="G3059">
        <v>1</v>
      </c>
      <c r="H3059">
        <v>2023</v>
      </c>
      <c r="I3059" t="s">
        <v>3174</v>
      </c>
    </row>
    <row r="3060" spans="1:9" x14ac:dyDescent="0.3">
      <c r="A3060" t="s">
        <v>10148</v>
      </c>
      <c r="B3060" t="s">
        <v>40</v>
      </c>
      <c r="C3060">
        <v>7648876604</v>
      </c>
      <c r="D3060" s="2">
        <v>1</v>
      </c>
      <c r="E3060" t="str">
        <f>"4574674200795318"</f>
        <v>4574674200795318</v>
      </c>
      <c r="F3060" t="str">
        <f>"595"</f>
        <v>595</v>
      </c>
      <c r="G3060">
        <v>1</v>
      </c>
      <c r="H3060">
        <v>2023</v>
      </c>
      <c r="I3060" t="s">
        <v>3175</v>
      </c>
    </row>
    <row r="3061" spans="1:9" x14ac:dyDescent="0.3">
      <c r="A3061" t="s">
        <v>10148</v>
      </c>
      <c r="B3061" t="s">
        <v>40</v>
      </c>
      <c r="C3061">
        <v>7648876604</v>
      </c>
      <c r="D3061" s="2">
        <v>1</v>
      </c>
      <c r="E3061" t="str">
        <f>"4574674200795300"</f>
        <v>4574674200795300</v>
      </c>
      <c r="F3061" t="str">
        <f>"090"</f>
        <v>090</v>
      </c>
      <c r="G3061">
        <v>1</v>
      </c>
      <c r="H3061">
        <v>2023</v>
      </c>
      <c r="I3061" t="s">
        <v>3176</v>
      </c>
    </row>
    <row r="3062" spans="1:9" x14ac:dyDescent="0.3">
      <c r="A3062" t="s">
        <v>10148</v>
      </c>
      <c r="B3062" t="s">
        <v>40</v>
      </c>
      <c r="C3062">
        <v>7648876604</v>
      </c>
      <c r="D3062" s="2">
        <v>1</v>
      </c>
      <c r="E3062" t="str">
        <f>"4574674200795342"</f>
        <v>4574674200795342</v>
      </c>
      <c r="F3062" t="str">
        <f>"700"</f>
        <v>700</v>
      </c>
      <c r="G3062">
        <v>1</v>
      </c>
      <c r="H3062">
        <v>2023</v>
      </c>
      <c r="I3062" t="s">
        <v>3177</v>
      </c>
    </row>
    <row r="3063" spans="1:9" x14ac:dyDescent="0.3">
      <c r="A3063" t="s">
        <v>10148</v>
      </c>
      <c r="B3063" t="s">
        <v>40</v>
      </c>
      <c r="C3063">
        <v>7648876604</v>
      </c>
      <c r="D3063" s="2">
        <v>1</v>
      </c>
      <c r="E3063" t="str">
        <f>"4574674200795383"</f>
        <v>4574674200795383</v>
      </c>
      <c r="F3063" t="str">
        <f>"393"</f>
        <v>393</v>
      </c>
      <c r="G3063">
        <v>1</v>
      </c>
      <c r="H3063">
        <v>2023</v>
      </c>
      <c r="I3063" t="s">
        <v>3178</v>
      </c>
    </row>
    <row r="3064" spans="1:9" x14ac:dyDescent="0.3">
      <c r="A3064" t="s">
        <v>10148</v>
      </c>
      <c r="B3064" t="s">
        <v>40</v>
      </c>
      <c r="C3064">
        <v>7648876604</v>
      </c>
      <c r="D3064" s="2">
        <v>1</v>
      </c>
      <c r="E3064" t="str">
        <f>"4574674200795359"</f>
        <v>4574674200795359</v>
      </c>
      <c r="F3064" t="str">
        <f>"083"</f>
        <v>083</v>
      </c>
      <c r="G3064">
        <v>1</v>
      </c>
      <c r="H3064">
        <v>2023</v>
      </c>
      <c r="I3064" t="s">
        <v>3179</v>
      </c>
    </row>
    <row r="3065" spans="1:9" x14ac:dyDescent="0.3">
      <c r="A3065" t="s">
        <v>10148</v>
      </c>
      <c r="B3065" t="s">
        <v>40</v>
      </c>
      <c r="C3065">
        <v>7648876604</v>
      </c>
      <c r="D3065" s="2">
        <v>1</v>
      </c>
      <c r="E3065" t="str">
        <f>"4574674200795656"</f>
        <v>4574674200795656</v>
      </c>
      <c r="F3065" t="str">
        <f>"171"</f>
        <v>171</v>
      </c>
      <c r="G3065">
        <v>1</v>
      </c>
      <c r="H3065">
        <v>2023</v>
      </c>
      <c r="I3065" t="s">
        <v>3180</v>
      </c>
    </row>
    <row r="3066" spans="1:9" x14ac:dyDescent="0.3">
      <c r="A3066" t="s">
        <v>10148</v>
      </c>
      <c r="B3066" t="s">
        <v>40</v>
      </c>
      <c r="C3066">
        <v>7648876604</v>
      </c>
      <c r="D3066" s="2">
        <v>1</v>
      </c>
      <c r="E3066" t="str">
        <f>"4574674200795664"</f>
        <v>4574674200795664</v>
      </c>
      <c r="F3066" t="str">
        <f>"453"</f>
        <v>453</v>
      </c>
      <c r="G3066">
        <v>1</v>
      </c>
      <c r="H3066">
        <v>2023</v>
      </c>
      <c r="I3066" t="s">
        <v>3181</v>
      </c>
    </row>
    <row r="3067" spans="1:9" x14ac:dyDescent="0.3">
      <c r="A3067" t="s">
        <v>10148</v>
      </c>
      <c r="B3067" t="s">
        <v>40</v>
      </c>
      <c r="C3067">
        <v>7648876604</v>
      </c>
      <c r="D3067" s="2">
        <v>1</v>
      </c>
      <c r="E3067" t="str">
        <f>"4574674200795680"</f>
        <v>4574674200795680</v>
      </c>
      <c r="F3067" t="str">
        <f>"935"</f>
        <v>935</v>
      </c>
      <c r="G3067">
        <v>1</v>
      </c>
      <c r="H3067">
        <v>2023</v>
      </c>
      <c r="I3067" t="s">
        <v>3182</v>
      </c>
    </row>
    <row r="3068" spans="1:9" x14ac:dyDescent="0.3">
      <c r="A3068" t="s">
        <v>10148</v>
      </c>
      <c r="B3068" t="s">
        <v>40</v>
      </c>
      <c r="C3068">
        <v>7648876604</v>
      </c>
      <c r="D3068" s="2">
        <v>1</v>
      </c>
      <c r="E3068" t="str">
        <f>"4574674200795714"</f>
        <v>4574674200795714</v>
      </c>
      <c r="F3068" t="str">
        <f>"952"</f>
        <v>952</v>
      </c>
      <c r="G3068">
        <v>1</v>
      </c>
      <c r="H3068">
        <v>2023</v>
      </c>
      <c r="I3068" t="s">
        <v>3183</v>
      </c>
    </row>
    <row r="3069" spans="1:9" x14ac:dyDescent="0.3">
      <c r="A3069" t="s">
        <v>10148</v>
      </c>
      <c r="B3069" t="s">
        <v>40</v>
      </c>
      <c r="C3069">
        <v>7648876604</v>
      </c>
      <c r="D3069" s="2">
        <v>1</v>
      </c>
      <c r="E3069" t="str">
        <f>"4574674200795698"</f>
        <v>4574674200795698</v>
      </c>
      <c r="F3069" t="str">
        <f>"335"</f>
        <v>335</v>
      </c>
      <c r="G3069">
        <v>1</v>
      </c>
      <c r="H3069">
        <v>2023</v>
      </c>
      <c r="I3069" t="s">
        <v>3184</v>
      </c>
    </row>
    <row r="3070" spans="1:9" x14ac:dyDescent="0.3">
      <c r="A3070" t="s">
        <v>10149</v>
      </c>
      <c r="B3070" t="s">
        <v>41</v>
      </c>
      <c r="C3070">
        <v>7648876604</v>
      </c>
      <c r="D3070" s="2">
        <v>1</v>
      </c>
      <c r="E3070" t="str">
        <f>"4574674200795466"</f>
        <v>4574674200795466</v>
      </c>
      <c r="F3070" t="str">
        <f>"204"</f>
        <v>204</v>
      </c>
      <c r="G3070">
        <v>1</v>
      </c>
      <c r="H3070">
        <v>2023</v>
      </c>
      <c r="I3070" t="s">
        <v>3185</v>
      </c>
    </row>
    <row r="3071" spans="1:9" x14ac:dyDescent="0.3">
      <c r="A3071" t="s">
        <v>10149</v>
      </c>
      <c r="B3071" t="s">
        <v>41</v>
      </c>
      <c r="C3071">
        <v>7648876604</v>
      </c>
      <c r="D3071" s="2">
        <v>1</v>
      </c>
      <c r="E3071" t="str">
        <f>"4574674200795748"</f>
        <v>4574674200795748</v>
      </c>
      <c r="F3071" t="str">
        <f>"622"</f>
        <v>622</v>
      </c>
      <c r="G3071">
        <v>1</v>
      </c>
      <c r="H3071">
        <v>2023</v>
      </c>
      <c r="I3071" t="s">
        <v>3186</v>
      </c>
    </row>
    <row r="3072" spans="1:9" x14ac:dyDescent="0.3">
      <c r="A3072" t="s">
        <v>10149</v>
      </c>
      <c r="B3072" t="s">
        <v>41</v>
      </c>
      <c r="C3072">
        <v>7648876604</v>
      </c>
      <c r="D3072" s="2">
        <v>1</v>
      </c>
      <c r="E3072" t="str">
        <f>"4574674200795862"</f>
        <v>4574674200795862</v>
      </c>
      <c r="F3072" t="str">
        <f>"001"</f>
        <v>001</v>
      </c>
      <c r="G3072">
        <v>1</v>
      </c>
      <c r="H3072">
        <v>2023</v>
      </c>
      <c r="I3072" t="s">
        <v>3187</v>
      </c>
    </row>
    <row r="3073" spans="1:9" x14ac:dyDescent="0.3">
      <c r="A3073" t="s">
        <v>10149</v>
      </c>
      <c r="B3073" t="s">
        <v>41</v>
      </c>
      <c r="C3073">
        <v>7648876604</v>
      </c>
      <c r="D3073" s="2">
        <v>1</v>
      </c>
      <c r="E3073" t="str">
        <f>"4574674200795813"</f>
        <v>4574674200795813</v>
      </c>
      <c r="F3073" t="str">
        <f>"911"</f>
        <v>911</v>
      </c>
      <c r="G3073">
        <v>1</v>
      </c>
      <c r="H3073">
        <v>2023</v>
      </c>
      <c r="I3073" t="s">
        <v>3188</v>
      </c>
    </row>
    <row r="3074" spans="1:9" x14ac:dyDescent="0.3">
      <c r="A3074" t="s">
        <v>10149</v>
      </c>
      <c r="B3074" t="s">
        <v>41</v>
      </c>
      <c r="C3074">
        <v>7648876604</v>
      </c>
      <c r="D3074" s="2">
        <v>1</v>
      </c>
      <c r="E3074" t="str">
        <f>"4574674200795805"</f>
        <v>4574674200795805</v>
      </c>
      <c r="F3074" t="str">
        <f>"674"</f>
        <v>674</v>
      </c>
      <c r="G3074">
        <v>1</v>
      </c>
      <c r="H3074">
        <v>2023</v>
      </c>
      <c r="I3074" t="s">
        <v>3189</v>
      </c>
    </row>
    <row r="3075" spans="1:9" x14ac:dyDescent="0.3">
      <c r="A3075" t="s">
        <v>10149</v>
      </c>
      <c r="B3075" t="s">
        <v>41</v>
      </c>
      <c r="C3075">
        <v>7648876604</v>
      </c>
      <c r="D3075" s="2">
        <v>1</v>
      </c>
      <c r="E3075" t="str">
        <f>"4574674200795821"</f>
        <v>4574674200795821</v>
      </c>
      <c r="F3075" t="str">
        <f>"406"</f>
        <v>406</v>
      </c>
      <c r="G3075">
        <v>1</v>
      </c>
      <c r="H3075">
        <v>2023</v>
      </c>
      <c r="I3075" t="s">
        <v>3190</v>
      </c>
    </row>
    <row r="3076" spans="1:9" x14ac:dyDescent="0.3">
      <c r="A3076" t="s">
        <v>10149</v>
      </c>
      <c r="B3076" t="s">
        <v>41</v>
      </c>
      <c r="C3076">
        <v>7648876604</v>
      </c>
      <c r="D3076" s="2">
        <v>1</v>
      </c>
      <c r="E3076" t="str">
        <f>"4574674200795847"</f>
        <v>4574674200795847</v>
      </c>
      <c r="F3076" t="str">
        <f>"550"</f>
        <v>550</v>
      </c>
      <c r="G3076">
        <v>1</v>
      </c>
      <c r="H3076">
        <v>2023</v>
      </c>
      <c r="I3076" t="s">
        <v>3191</v>
      </c>
    </row>
    <row r="3077" spans="1:9" x14ac:dyDescent="0.3">
      <c r="A3077" t="s">
        <v>10149</v>
      </c>
      <c r="B3077" t="s">
        <v>41</v>
      </c>
      <c r="C3077">
        <v>7648876604</v>
      </c>
      <c r="D3077" s="2">
        <v>1</v>
      </c>
      <c r="E3077" t="str">
        <f>"4574674200795904"</f>
        <v>4574674200795904</v>
      </c>
      <c r="F3077" t="str">
        <f>"756"</f>
        <v>756</v>
      </c>
      <c r="G3077">
        <v>1</v>
      </c>
      <c r="H3077">
        <v>2023</v>
      </c>
      <c r="I3077" t="s">
        <v>3192</v>
      </c>
    </row>
    <row r="3078" spans="1:9" x14ac:dyDescent="0.3">
      <c r="A3078" t="s">
        <v>10149</v>
      </c>
      <c r="B3078" t="s">
        <v>41</v>
      </c>
      <c r="C3078">
        <v>7648876604</v>
      </c>
      <c r="D3078" s="2">
        <v>1</v>
      </c>
      <c r="E3078" t="str">
        <f>"4574674200795979"</f>
        <v>4574674200795979</v>
      </c>
      <c r="F3078" t="str">
        <f>"358"</f>
        <v>358</v>
      </c>
      <c r="G3078">
        <v>1</v>
      </c>
      <c r="H3078">
        <v>2023</v>
      </c>
      <c r="I3078" t="s">
        <v>3193</v>
      </c>
    </row>
    <row r="3079" spans="1:9" x14ac:dyDescent="0.3">
      <c r="A3079" t="s">
        <v>10149</v>
      </c>
      <c r="B3079" t="s">
        <v>41</v>
      </c>
      <c r="C3079">
        <v>7648876604</v>
      </c>
      <c r="D3079" s="2">
        <v>1</v>
      </c>
      <c r="E3079" t="str">
        <f>"4574674200795995"</f>
        <v>4574674200795995</v>
      </c>
      <c r="F3079" t="str">
        <f>"338"</f>
        <v>338</v>
      </c>
      <c r="G3079">
        <v>1</v>
      </c>
      <c r="H3079">
        <v>2023</v>
      </c>
      <c r="I3079" t="s">
        <v>3194</v>
      </c>
    </row>
    <row r="3080" spans="1:9" x14ac:dyDescent="0.3">
      <c r="A3080" t="s">
        <v>10150</v>
      </c>
      <c r="B3080" t="s">
        <v>42</v>
      </c>
      <c r="C3080">
        <v>7648876604</v>
      </c>
      <c r="D3080" s="2">
        <v>1</v>
      </c>
      <c r="E3080" t="str">
        <f>"4574674200795961"</f>
        <v>4574674200795961</v>
      </c>
      <c r="F3080" t="str">
        <f>"528"</f>
        <v>528</v>
      </c>
      <c r="G3080">
        <v>1</v>
      </c>
      <c r="H3080">
        <v>2023</v>
      </c>
      <c r="I3080" t="s">
        <v>3195</v>
      </c>
    </row>
    <row r="3081" spans="1:9" x14ac:dyDescent="0.3">
      <c r="A3081" t="s">
        <v>10150</v>
      </c>
      <c r="B3081" t="s">
        <v>42</v>
      </c>
      <c r="C3081">
        <v>7648876604</v>
      </c>
      <c r="D3081" s="2">
        <v>1</v>
      </c>
      <c r="E3081" t="str">
        <f>"4574674200795953"</f>
        <v>4574674200795953</v>
      </c>
      <c r="F3081" t="str">
        <f>"721"</f>
        <v>721</v>
      </c>
      <c r="G3081">
        <v>1</v>
      </c>
      <c r="H3081">
        <v>2023</v>
      </c>
      <c r="I3081" t="s">
        <v>3196</v>
      </c>
    </row>
    <row r="3082" spans="1:9" x14ac:dyDescent="0.3">
      <c r="A3082" t="s">
        <v>10150</v>
      </c>
      <c r="B3082" t="s">
        <v>42</v>
      </c>
      <c r="C3082">
        <v>7648876604</v>
      </c>
      <c r="D3082" s="2">
        <v>1</v>
      </c>
      <c r="E3082" t="str">
        <f>"4574674200795573"</f>
        <v>4574674200795573</v>
      </c>
      <c r="F3082" t="str">
        <f>"420"</f>
        <v>420</v>
      </c>
      <c r="G3082">
        <v>1</v>
      </c>
      <c r="H3082">
        <v>2023</v>
      </c>
      <c r="I3082" t="s">
        <v>3197</v>
      </c>
    </row>
    <row r="3083" spans="1:9" x14ac:dyDescent="0.3">
      <c r="A3083" t="s">
        <v>10150</v>
      </c>
      <c r="B3083" t="s">
        <v>42</v>
      </c>
      <c r="C3083">
        <v>7648876604</v>
      </c>
      <c r="D3083" s="2">
        <v>1</v>
      </c>
      <c r="E3083" t="str">
        <f>"4574674200796019"</f>
        <v>4574674200796019</v>
      </c>
      <c r="F3083" t="str">
        <f>"932"</f>
        <v>932</v>
      </c>
      <c r="G3083">
        <v>1</v>
      </c>
      <c r="H3083">
        <v>2023</v>
      </c>
      <c r="I3083" t="s">
        <v>3198</v>
      </c>
    </row>
    <row r="3084" spans="1:9" x14ac:dyDescent="0.3">
      <c r="A3084" t="s">
        <v>10150</v>
      </c>
      <c r="B3084" t="s">
        <v>42</v>
      </c>
      <c r="C3084">
        <v>7648876604</v>
      </c>
      <c r="D3084" s="2">
        <v>1</v>
      </c>
      <c r="E3084" t="str">
        <f>"4574674200796068"</f>
        <v>4574674200796068</v>
      </c>
      <c r="F3084" t="str">
        <f>"194"</f>
        <v>194</v>
      </c>
      <c r="G3084">
        <v>1</v>
      </c>
      <c r="H3084">
        <v>2023</v>
      </c>
      <c r="I3084" t="s">
        <v>3199</v>
      </c>
    </row>
    <row r="3085" spans="1:9" x14ac:dyDescent="0.3">
      <c r="A3085" t="s">
        <v>10150</v>
      </c>
      <c r="B3085" t="s">
        <v>42</v>
      </c>
      <c r="C3085">
        <v>7648876604</v>
      </c>
      <c r="D3085" s="2">
        <v>1</v>
      </c>
      <c r="E3085" t="str">
        <f>"4574674200796092"</f>
        <v>4574674200796092</v>
      </c>
      <c r="F3085" t="str">
        <f>"817"</f>
        <v>817</v>
      </c>
      <c r="G3085">
        <v>1</v>
      </c>
      <c r="H3085">
        <v>2023</v>
      </c>
      <c r="I3085" t="s">
        <v>3200</v>
      </c>
    </row>
    <row r="3086" spans="1:9" x14ac:dyDescent="0.3">
      <c r="A3086" t="s">
        <v>10150</v>
      </c>
      <c r="B3086" t="s">
        <v>42</v>
      </c>
      <c r="C3086">
        <v>7648876604</v>
      </c>
      <c r="D3086" s="2">
        <v>1</v>
      </c>
      <c r="E3086" t="str">
        <f>"4574674200796134"</f>
        <v>4574674200796134</v>
      </c>
      <c r="F3086" t="str">
        <f>"734"</f>
        <v>734</v>
      </c>
      <c r="G3086">
        <v>1</v>
      </c>
      <c r="H3086">
        <v>2023</v>
      </c>
      <c r="I3086" t="s">
        <v>3201</v>
      </c>
    </row>
    <row r="3087" spans="1:9" x14ac:dyDescent="0.3">
      <c r="A3087" t="s">
        <v>10150</v>
      </c>
      <c r="B3087" t="s">
        <v>42</v>
      </c>
      <c r="C3087">
        <v>7648876604</v>
      </c>
      <c r="D3087" s="2">
        <v>1</v>
      </c>
      <c r="E3087" t="str">
        <f>"4574674200796100"</f>
        <v>4574674200796100</v>
      </c>
      <c r="F3087" t="str">
        <f>"666"</f>
        <v>666</v>
      </c>
      <c r="G3087">
        <v>1</v>
      </c>
      <c r="H3087">
        <v>2023</v>
      </c>
      <c r="I3087" t="s">
        <v>3202</v>
      </c>
    </row>
    <row r="3088" spans="1:9" x14ac:dyDescent="0.3">
      <c r="A3088" t="s">
        <v>10150</v>
      </c>
      <c r="B3088" t="s">
        <v>42</v>
      </c>
      <c r="C3088">
        <v>7648876604</v>
      </c>
      <c r="D3088" s="2">
        <v>1</v>
      </c>
      <c r="E3088" t="str">
        <f>"4574674200796159"</f>
        <v>4574674200796159</v>
      </c>
      <c r="F3088" t="str">
        <f>"166"</f>
        <v>166</v>
      </c>
      <c r="G3088">
        <v>1</v>
      </c>
      <c r="H3088">
        <v>2023</v>
      </c>
      <c r="I3088" t="s">
        <v>3203</v>
      </c>
    </row>
    <row r="3089" spans="1:9" x14ac:dyDescent="0.3">
      <c r="A3089" t="s">
        <v>10150</v>
      </c>
      <c r="B3089" t="s">
        <v>42</v>
      </c>
      <c r="C3089">
        <v>7648876604</v>
      </c>
      <c r="D3089" s="2">
        <v>1</v>
      </c>
      <c r="E3089" t="str">
        <f>"4574674200796191"</f>
        <v>4574674200796191</v>
      </c>
      <c r="F3089" t="str">
        <f>"260"</f>
        <v>260</v>
      </c>
      <c r="G3089">
        <v>1</v>
      </c>
      <c r="H3089">
        <v>2023</v>
      </c>
      <c r="I3089" t="s">
        <v>3204</v>
      </c>
    </row>
    <row r="3090" spans="1:9" x14ac:dyDescent="0.3">
      <c r="A3090" t="s">
        <v>10147</v>
      </c>
      <c r="B3090" t="s">
        <v>39</v>
      </c>
      <c r="C3090">
        <v>7648876604</v>
      </c>
      <c r="D3090" s="2">
        <v>1</v>
      </c>
      <c r="E3090" t="str">
        <f>"4574674200796415"</f>
        <v>4574674200796415</v>
      </c>
      <c r="F3090" t="str">
        <f>"653"</f>
        <v>653</v>
      </c>
      <c r="G3090">
        <v>1</v>
      </c>
      <c r="H3090">
        <v>2023</v>
      </c>
      <c r="I3090" t="s">
        <v>3205</v>
      </c>
    </row>
    <row r="3091" spans="1:9" x14ac:dyDescent="0.3">
      <c r="A3091" t="s">
        <v>10147</v>
      </c>
      <c r="B3091" t="s">
        <v>39</v>
      </c>
      <c r="C3091">
        <v>7648876604</v>
      </c>
      <c r="D3091" s="2">
        <v>1</v>
      </c>
      <c r="E3091" t="str">
        <f>"4574674200796282"</f>
        <v>4574674200796282</v>
      </c>
      <c r="F3091" t="str">
        <f>"125"</f>
        <v>125</v>
      </c>
      <c r="G3091">
        <v>1</v>
      </c>
      <c r="H3091">
        <v>2023</v>
      </c>
      <c r="I3091" t="s">
        <v>3206</v>
      </c>
    </row>
    <row r="3092" spans="1:9" x14ac:dyDescent="0.3">
      <c r="A3092" t="s">
        <v>10147</v>
      </c>
      <c r="B3092" t="s">
        <v>39</v>
      </c>
      <c r="C3092">
        <v>7648876604</v>
      </c>
      <c r="D3092" s="2">
        <v>1</v>
      </c>
      <c r="E3092" t="str">
        <f>"4574674200796480"</f>
        <v>4574674200796480</v>
      </c>
      <c r="F3092" t="str">
        <f>"308"</f>
        <v>308</v>
      </c>
      <c r="G3092">
        <v>1</v>
      </c>
      <c r="H3092">
        <v>2023</v>
      </c>
      <c r="I3092" t="s">
        <v>3207</v>
      </c>
    </row>
    <row r="3093" spans="1:9" x14ac:dyDescent="0.3">
      <c r="A3093" t="s">
        <v>10147</v>
      </c>
      <c r="B3093" t="s">
        <v>39</v>
      </c>
      <c r="C3093">
        <v>7648876604</v>
      </c>
      <c r="D3093" s="2">
        <v>1</v>
      </c>
      <c r="E3093" t="str">
        <f>"4574674200796449"</f>
        <v>4574674200796449</v>
      </c>
      <c r="F3093" t="str">
        <f>"350"</f>
        <v>350</v>
      </c>
      <c r="G3093">
        <v>1</v>
      </c>
      <c r="H3093">
        <v>2023</v>
      </c>
      <c r="I3093" t="s">
        <v>3208</v>
      </c>
    </row>
    <row r="3094" spans="1:9" x14ac:dyDescent="0.3">
      <c r="A3094" t="s">
        <v>10147</v>
      </c>
      <c r="B3094" t="s">
        <v>39</v>
      </c>
      <c r="C3094">
        <v>7648876604</v>
      </c>
      <c r="D3094" s="2">
        <v>1</v>
      </c>
      <c r="E3094" t="str">
        <f>"4574674200796506"</f>
        <v>4574674200796506</v>
      </c>
      <c r="F3094" t="str">
        <f>"110"</f>
        <v>110</v>
      </c>
      <c r="G3094">
        <v>1</v>
      </c>
      <c r="H3094">
        <v>2023</v>
      </c>
      <c r="I3094" t="s">
        <v>3209</v>
      </c>
    </row>
    <row r="3095" spans="1:9" x14ac:dyDescent="0.3">
      <c r="A3095" t="s">
        <v>10147</v>
      </c>
      <c r="B3095" t="s">
        <v>39</v>
      </c>
      <c r="C3095">
        <v>7648876604</v>
      </c>
      <c r="D3095" s="2">
        <v>1</v>
      </c>
      <c r="E3095" t="str">
        <f>"4574674200796514"</f>
        <v>4574674200796514</v>
      </c>
      <c r="F3095" t="str">
        <f>"162"</f>
        <v>162</v>
      </c>
      <c r="G3095">
        <v>1</v>
      </c>
      <c r="H3095">
        <v>2023</v>
      </c>
      <c r="I3095" t="s">
        <v>3210</v>
      </c>
    </row>
    <row r="3096" spans="1:9" x14ac:dyDescent="0.3">
      <c r="A3096" t="s">
        <v>10147</v>
      </c>
      <c r="B3096" t="s">
        <v>39</v>
      </c>
      <c r="C3096">
        <v>7648876604</v>
      </c>
      <c r="D3096" s="2">
        <v>1</v>
      </c>
      <c r="E3096" t="str">
        <f>"4574674200796548"</f>
        <v>4574674200796548</v>
      </c>
      <c r="F3096" t="str">
        <f>"191"</f>
        <v>191</v>
      </c>
      <c r="G3096">
        <v>1</v>
      </c>
      <c r="H3096">
        <v>2023</v>
      </c>
      <c r="I3096" t="s">
        <v>3211</v>
      </c>
    </row>
    <row r="3097" spans="1:9" x14ac:dyDescent="0.3">
      <c r="A3097" t="s">
        <v>10147</v>
      </c>
      <c r="B3097" t="s">
        <v>39</v>
      </c>
      <c r="C3097">
        <v>7648876604</v>
      </c>
      <c r="D3097" s="2">
        <v>1</v>
      </c>
      <c r="E3097" t="str">
        <f>"4574674200796571"</f>
        <v>4574674200796571</v>
      </c>
      <c r="F3097" t="str">
        <f>"112"</f>
        <v>112</v>
      </c>
      <c r="G3097">
        <v>1</v>
      </c>
      <c r="H3097">
        <v>2023</v>
      </c>
      <c r="I3097" t="s">
        <v>3212</v>
      </c>
    </row>
    <row r="3098" spans="1:9" x14ac:dyDescent="0.3">
      <c r="A3098" t="s">
        <v>10147</v>
      </c>
      <c r="B3098" t="s">
        <v>39</v>
      </c>
      <c r="C3098">
        <v>7648876604</v>
      </c>
      <c r="D3098" s="2">
        <v>1</v>
      </c>
      <c r="E3098" t="str">
        <f>"4574674200796621"</f>
        <v>4574674200796621</v>
      </c>
      <c r="F3098" t="str">
        <f>"110"</f>
        <v>110</v>
      </c>
      <c r="G3098">
        <v>1</v>
      </c>
      <c r="H3098">
        <v>2023</v>
      </c>
      <c r="I3098" t="s">
        <v>3213</v>
      </c>
    </row>
    <row r="3099" spans="1:9" x14ac:dyDescent="0.3">
      <c r="A3099" t="s">
        <v>10147</v>
      </c>
      <c r="B3099" t="s">
        <v>39</v>
      </c>
      <c r="C3099">
        <v>7648876604</v>
      </c>
      <c r="D3099" s="2">
        <v>1</v>
      </c>
      <c r="E3099" t="str">
        <f>"4574674200796639"</f>
        <v>4574674200796639</v>
      </c>
      <c r="F3099" t="str">
        <f>"315"</f>
        <v>315</v>
      </c>
      <c r="G3099">
        <v>1</v>
      </c>
      <c r="H3099">
        <v>2023</v>
      </c>
      <c r="I3099" t="s">
        <v>3214</v>
      </c>
    </row>
    <row r="3100" spans="1:9" x14ac:dyDescent="0.3">
      <c r="A3100" t="s">
        <v>10148</v>
      </c>
      <c r="B3100" t="s">
        <v>40</v>
      </c>
      <c r="C3100">
        <v>7648876604</v>
      </c>
      <c r="D3100" s="2">
        <v>1</v>
      </c>
      <c r="E3100" t="str">
        <f>"4574674200796662"</f>
        <v>4574674200796662</v>
      </c>
      <c r="F3100" t="str">
        <f>"461"</f>
        <v>461</v>
      </c>
      <c r="G3100">
        <v>1</v>
      </c>
      <c r="H3100">
        <v>2023</v>
      </c>
      <c r="I3100" t="s">
        <v>3215</v>
      </c>
    </row>
    <row r="3101" spans="1:9" x14ac:dyDescent="0.3">
      <c r="A3101" t="s">
        <v>10148</v>
      </c>
      <c r="B3101" t="s">
        <v>40</v>
      </c>
      <c r="C3101">
        <v>7648876604</v>
      </c>
      <c r="D3101" s="2">
        <v>1</v>
      </c>
      <c r="E3101" t="str">
        <f>"4574674200796696"</f>
        <v>4574674200796696</v>
      </c>
      <c r="F3101" t="str">
        <f>"873"</f>
        <v>873</v>
      </c>
      <c r="G3101">
        <v>1</v>
      </c>
      <c r="H3101">
        <v>2023</v>
      </c>
      <c r="I3101" t="s">
        <v>3216</v>
      </c>
    </row>
    <row r="3102" spans="1:9" x14ac:dyDescent="0.3">
      <c r="A3102" t="s">
        <v>10148</v>
      </c>
      <c r="B3102" t="s">
        <v>40</v>
      </c>
      <c r="C3102">
        <v>7648876604</v>
      </c>
      <c r="D3102" s="2">
        <v>1</v>
      </c>
      <c r="E3102" t="str">
        <f>"4574674200796829"</f>
        <v>4574674200796829</v>
      </c>
      <c r="F3102" t="str">
        <f>"615"</f>
        <v>615</v>
      </c>
      <c r="G3102">
        <v>1</v>
      </c>
      <c r="H3102">
        <v>2023</v>
      </c>
      <c r="I3102" t="s">
        <v>3217</v>
      </c>
    </row>
    <row r="3103" spans="1:9" x14ac:dyDescent="0.3">
      <c r="A3103" t="s">
        <v>10148</v>
      </c>
      <c r="B3103" t="s">
        <v>40</v>
      </c>
      <c r="C3103">
        <v>7648876604</v>
      </c>
      <c r="D3103" s="2">
        <v>1</v>
      </c>
      <c r="E3103" t="str">
        <f>"4574674200796720"</f>
        <v>4574674200796720</v>
      </c>
      <c r="F3103" t="str">
        <f>"118"</f>
        <v>118</v>
      </c>
      <c r="G3103">
        <v>1</v>
      </c>
      <c r="H3103">
        <v>2023</v>
      </c>
      <c r="I3103" t="s">
        <v>3218</v>
      </c>
    </row>
    <row r="3104" spans="1:9" x14ac:dyDescent="0.3">
      <c r="A3104" t="s">
        <v>10148</v>
      </c>
      <c r="B3104" t="s">
        <v>40</v>
      </c>
      <c r="C3104">
        <v>7648876604</v>
      </c>
      <c r="D3104" s="2">
        <v>1</v>
      </c>
      <c r="E3104" t="str">
        <f>"4574674200796712"</f>
        <v>4574674200796712</v>
      </c>
      <c r="F3104" t="str">
        <f>"538"</f>
        <v>538</v>
      </c>
      <c r="G3104">
        <v>1</v>
      </c>
      <c r="H3104">
        <v>2023</v>
      </c>
      <c r="I3104" t="s">
        <v>3219</v>
      </c>
    </row>
    <row r="3105" spans="1:9" x14ac:dyDescent="0.3">
      <c r="A3105" t="s">
        <v>10148</v>
      </c>
      <c r="B3105" t="s">
        <v>40</v>
      </c>
      <c r="C3105">
        <v>7648876604</v>
      </c>
      <c r="D3105" s="2">
        <v>1</v>
      </c>
      <c r="E3105" t="str">
        <f>"4574674200796746"</f>
        <v>4574674200796746</v>
      </c>
      <c r="F3105" t="str">
        <f>"139"</f>
        <v>139</v>
      </c>
      <c r="G3105">
        <v>1</v>
      </c>
      <c r="H3105">
        <v>2023</v>
      </c>
      <c r="I3105" t="s">
        <v>3220</v>
      </c>
    </row>
    <row r="3106" spans="1:9" x14ac:dyDescent="0.3">
      <c r="A3106" t="s">
        <v>10148</v>
      </c>
      <c r="B3106" t="s">
        <v>40</v>
      </c>
      <c r="C3106">
        <v>7648876604</v>
      </c>
      <c r="D3106" s="2">
        <v>1</v>
      </c>
      <c r="E3106" t="str">
        <f>"4574674200796787"</f>
        <v>4574674200796787</v>
      </c>
      <c r="F3106" t="str">
        <f>"554"</f>
        <v>554</v>
      </c>
      <c r="G3106">
        <v>1</v>
      </c>
      <c r="H3106">
        <v>2023</v>
      </c>
      <c r="I3106" t="s">
        <v>3221</v>
      </c>
    </row>
    <row r="3107" spans="1:9" x14ac:dyDescent="0.3">
      <c r="A3107" t="s">
        <v>10148</v>
      </c>
      <c r="B3107" t="s">
        <v>40</v>
      </c>
      <c r="C3107">
        <v>7648876604</v>
      </c>
      <c r="D3107" s="2">
        <v>1</v>
      </c>
      <c r="E3107" t="str">
        <f>"4574674200797025"</f>
        <v>4574674200797025</v>
      </c>
      <c r="F3107" t="str">
        <f>"278"</f>
        <v>278</v>
      </c>
      <c r="G3107">
        <v>1</v>
      </c>
      <c r="H3107">
        <v>2023</v>
      </c>
      <c r="I3107" t="s">
        <v>3222</v>
      </c>
    </row>
    <row r="3108" spans="1:9" x14ac:dyDescent="0.3">
      <c r="A3108" t="s">
        <v>10148</v>
      </c>
      <c r="B3108" t="s">
        <v>40</v>
      </c>
      <c r="C3108">
        <v>7648876604</v>
      </c>
      <c r="D3108" s="2">
        <v>1</v>
      </c>
      <c r="E3108" t="str">
        <f>"4574674200797041"</f>
        <v>4574674200797041</v>
      </c>
      <c r="F3108" t="str">
        <f>"813"</f>
        <v>813</v>
      </c>
      <c r="G3108">
        <v>1</v>
      </c>
      <c r="H3108">
        <v>2023</v>
      </c>
      <c r="I3108" t="s">
        <v>3223</v>
      </c>
    </row>
    <row r="3109" spans="1:9" x14ac:dyDescent="0.3">
      <c r="A3109" t="s">
        <v>10148</v>
      </c>
      <c r="B3109" t="s">
        <v>40</v>
      </c>
      <c r="C3109">
        <v>7648876604</v>
      </c>
      <c r="D3109" s="2">
        <v>1</v>
      </c>
      <c r="E3109" t="str">
        <f>"4574674200797066"</f>
        <v>4574674200797066</v>
      </c>
      <c r="F3109" t="str">
        <f>"413"</f>
        <v>413</v>
      </c>
      <c r="G3109">
        <v>1</v>
      </c>
      <c r="H3109">
        <v>2023</v>
      </c>
      <c r="I3109" t="s">
        <v>3224</v>
      </c>
    </row>
    <row r="3110" spans="1:9" x14ac:dyDescent="0.3">
      <c r="A3110" t="s">
        <v>10149</v>
      </c>
      <c r="B3110" t="s">
        <v>41</v>
      </c>
      <c r="C3110">
        <v>7648876604</v>
      </c>
      <c r="D3110" s="2">
        <v>1</v>
      </c>
      <c r="E3110" t="str">
        <f>"4574674200797090"</f>
        <v>4574674200797090</v>
      </c>
      <c r="F3110" t="str">
        <f>"938"</f>
        <v>938</v>
      </c>
      <c r="G3110">
        <v>1</v>
      </c>
      <c r="H3110">
        <v>2023</v>
      </c>
      <c r="I3110" t="s">
        <v>3225</v>
      </c>
    </row>
    <row r="3111" spans="1:9" x14ac:dyDescent="0.3">
      <c r="A3111" t="s">
        <v>10149</v>
      </c>
      <c r="B3111" t="s">
        <v>41</v>
      </c>
      <c r="C3111">
        <v>7648876604</v>
      </c>
      <c r="D3111" s="2">
        <v>1</v>
      </c>
      <c r="E3111" t="str">
        <f>"4574674200797116"</f>
        <v>4574674200797116</v>
      </c>
      <c r="F3111" t="str">
        <f>"487"</f>
        <v>487</v>
      </c>
      <c r="G3111">
        <v>1</v>
      </c>
      <c r="H3111">
        <v>2023</v>
      </c>
      <c r="I3111" t="s">
        <v>3226</v>
      </c>
    </row>
    <row r="3112" spans="1:9" x14ac:dyDescent="0.3">
      <c r="A3112" t="s">
        <v>10149</v>
      </c>
      <c r="B3112" t="s">
        <v>41</v>
      </c>
      <c r="C3112">
        <v>7648876604</v>
      </c>
      <c r="D3112" s="2">
        <v>1</v>
      </c>
      <c r="E3112" t="str">
        <f>"4574674200797157"</f>
        <v>4574674200797157</v>
      </c>
      <c r="F3112" t="str">
        <f>"284"</f>
        <v>284</v>
      </c>
      <c r="G3112">
        <v>1</v>
      </c>
      <c r="H3112">
        <v>2023</v>
      </c>
      <c r="I3112" t="s">
        <v>3227</v>
      </c>
    </row>
    <row r="3113" spans="1:9" x14ac:dyDescent="0.3">
      <c r="A3113" t="s">
        <v>10149</v>
      </c>
      <c r="B3113" t="s">
        <v>41</v>
      </c>
      <c r="C3113">
        <v>7648876604</v>
      </c>
      <c r="D3113" s="2">
        <v>1</v>
      </c>
      <c r="E3113" t="str">
        <f>"4574674200796944"</f>
        <v>4574674200796944</v>
      </c>
      <c r="F3113" t="str">
        <f>"618"</f>
        <v>618</v>
      </c>
      <c r="G3113">
        <v>1</v>
      </c>
      <c r="H3113">
        <v>2023</v>
      </c>
      <c r="I3113" t="s">
        <v>3228</v>
      </c>
    </row>
    <row r="3114" spans="1:9" x14ac:dyDescent="0.3">
      <c r="A3114" t="s">
        <v>10149</v>
      </c>
      <c r="B3114" t="s">
        <v>41</v>
      </c>
      <c r="C3114">
        <v>7648876604</v>
      </c>
      <c r="D3114" s="2">
        <v>1</v>
      </c>
      <c r="E3114" t="str">
        <f>"4574674200797181"</f>
        <v>4574674200797181</v>
      </c>
      <c r="F3114" t="str">
        <f>"382"</f>
        <v>382</v>
      </c>
      <c r="G3114">
        <v>1</v>
      </c>
      <c r="H3114">
        <v>2023</v>
      </c>
      <c r="I3114" t="s">
        <v>3229</v>
      </c>
    </row>
    <row r="3115" spans="1:9" x14ac:dyDescent="0.3">
      <c r="A3115" t="s">
        <v>10149</v>
      </c>
      <c r="B3115" t="s">
        <v>41</v>
      </c>
      <c r="C3115">
        <v>7648876604</v>
      </c>
      <c r="D3115" s="2">
        <v>1</v>
      </c>
      <c r="E3115" t="str">
        <f>"4574674200797199"</f>
        <v>4574674200797199</v>
      </c>
      <c r="F3115" t="str">
        <f>"436"</f>
        <v>436</v>
      </c>
      <c r="G3115">
        <v>1</v>
      </c>
      <c r="H3115">
        <v>2023</v>
      </c>
      <c r="I3115" t="s">
        <v>3230</v>
      </c>
    </row>
    <row r="3116" spans="1:9" x14ac:dyDescent="0.3">
      <c r="A3116" t="s">
        <v>10149</v>
      </c>
      <c r="B3116" t="s">
        <v>41</v>
      </c>
      <c r="C3116">
        <v>7648876604</v>
      </c>
      <c r="D3116" s="2">
        <v>1</v>
      </c>
      <c r="E3116" t="str">
        <f>"4574674200797231"</f>
        <v>4574674200797231</v>
      </c>
      <c r="F3116" t="str">
        <f>"765"</f>
        <v>765</v>
      </c>
      <c r="G3116">
        <v>1</v>
      </c>
      <c r="H3116">
        <v>2023</v>
      </c>
      <c r="I3116" t="s">
        <v>3231</v>
      </c>
    </row>
    <row r="3117" spans="1:9" x14ac:dyDescent="0.3">
      <c r="A3117" t="s">
        <v>10149</v>
      </c>
      <c r="B3117" t="s">
        <v>41</v>
      </c>
      <c r="C3117">
        <v>7648876604</v>
      </c>
      <c r="D3117" s="2">
        <v>1</v>
      </c>
      <c r="E3117" t="str">
        <f>"4574674200797249"</f>
        <v>4574674200797249</v>
      </c>
      <c r="F3117" t="str">
        <f>"246"</f>
        <v>246</v>
      </c>
      <c r="G3117">
        <v>1</v>
      </c>
      <c r="H3117">
        <v>2023</v>
      </c>
      <c r="I3117" t="s">
        <v>3232</v>
      </c>
    </row>
    <row r="3118" spans="1:9" x14ac:dyDescent="0.3">
      <c r="A3118" t="s">
        <v>10149</v>
      </c>
      <c r="B3118" t="s">
        <v>41</v>
      </c>
      <c r="C3118">
        <v>7648876604</v>
      </c>
      <c r="D3118" s="2">
        <v>1</v>
      </c>
      <c r="E3118" t="str">
        <f>"4574674200797298"</f>
        <v>4574674200797298</v>
      </c>
      <c r="F3118" t="str">
        <f>"379"</f>
        <v>379</v>
      </c>
      <c r="G3118">
        <v>1</v>
      </c>
      <c r="H3118">
        <v>2023</v>
      </c>
      <c r="I3118" t="s">
        <v>3233</v>
      </c>
    </row>
    <row r="3119" spans="1:9" x14ac:dyDescent="0.3">
      <c r="A3119" t="s">
        <v>10149</v>
      </c>
      <c r="B3119" t="s">
        <v>41</v>
      </c>
      <c r="C3119">
        <v>7648876604</v>
      </c>
      <c r="D3119" s="2">
        <v>1</v>
      </c>
      <c r="E3119" t="str">
        <f>"4574674200797280"</f>
        <v>4574674200797280</v>
      </c>
      <c r="F3119" t="str">
        <f>"557"</f>
        <v>557</v>
      </c>
      <c r="G3119">
        <v>1</v>
      </c>
      <c r="H3119">
        <v>2023</v>
      </c>
      <c r="I3119" t="s">
        <v>3234</v>
      </c>
    </row>
    <row r="3120" spans="1:9" x14ac:dyDescent="0.3">
      <c r="A3120" t="s">
        <v>10150</v>
      </c>
      <c r="B3120" t="s">
        <v>42</v>
      </c>
      <c r="C3120">
        <v>7648876604</v>
      </c>
      <c r="D3120" s="2">
        <v>1</v>
      </c>
      <c r="E3120" t="str">
        <f>"4574674200797314"</f>
        <v>4574674200797314</v>
      </c>
      <c r="F3120" t="str">
        <f>"894"</f>
        <v>894</v>
      </c>
      <c r="G3120">
        <v>1</v>
      </c>
      <c r="H3120">
        <v>2023</v>
      </c>
      <c r="I3120" t="s">
        <v>3235</v>
      </c>
    </row>
    <row r="3121" spans="1:9" x14ac:dyDescent="0.3">
      <c r="A3121" t="s">
        <v>10150</v>
      </c>
      <c r="B3121" t="s">
        <v>42</v>
      </c>
      <c r="C3121">
        <v>7648876604</v>
      </c>
      <c r="D3121" s="2">
        <v>1</v>
      </c>
      <c r="E3121" t="str">
        <f>"4574674200797322"</f>
        <v>4574674200797322</v>
      </c>
      <c r="F3121" t="str">
        <f>"896"</f>
        <v>896</v>
      </c>
      <c r="G3121">
        <v>1</v>
      </c>
      <c r="H3121">
        <v>2023</v>
      </c>
      <c r="I3121" t="s">
        <v>3236</v>
      </c>
    </row>
    <row r="3122" spans="1:9" x14ac:dyDescent="0.3">
      <c r="A3122" t="s">
        <v>10150</v>
      </c>
      <c r="B3122" t="s">
        <v>42</v>
      </c>
      <c r="C3122">
        <v>7648876604</v>
      </c>
      <c r="D3122" s="2">
        <v>1</v>
      </c>
      <c r="E3122" t="str">
        <f>"4574674200797454"</f>
        <v>4574674200797454</v>
      </c>
      <c r="F3122" t="str">
        <f>"108"</f>
        <v>108</v>
      </c>
      <c r="G3122">
        <v>1</v>
      </c>
      <c r="H3122">
        <v>2023</v>
      </c>
      <c r="I3122" t="s">
        <v>3237</v>
      </c>
    </row>
    <row r="3123" spans="1:9" x14ac:dyDescent="0.3">
      <c r="A3123" t="s">
        <v>10150</v>
      </c>
      <c r="B3123" t="s">
        <v>42</v>
      </c>
      <c r="C3123">
        <v>7648876604</v>
      </c>
      <c r="D3123" s="2">
        <v>1</v>
      </c>
      <c r="E3123" t="str">
        <f>"4574674200797603"</f>
        <v>4574674200797603</v>
      </c>
      <c r="F3123" t="str">
        <f>"328"</f>
        <v>328</v>
      </c>
      <c r="G3123">
        <v>1</v>
      </c>
      <c r="H3123">
        <v>2023</v>
      </c>
      <c r="I3123" t="s">
        <v>3238</v>
      </c>
    </row>
    <row r="3124" spans="1:9" x14ac:dyDescent="0.3">
      <c r="A3124" t="s">
        <v>10150</v>
      </c>
      <c r="B3124" t="s">
        <v>42</v>
      </c>
      <c r="C3124">
        <v>7648876604</v>
      </c>
      <c r="D3124" s="2">
        <v>1</v>
      </c>
      <c r="E3124" t="str">
        <f>"4574674200797397"</f>
        <v>4574674200797397</v>
      </c>
      <c r="F3124" t="str">
        <f>"563"</f>
        <v>563</v>
      </c>
      <c r="G3124">
        <v>1</v>
      </c>
      <c r="H3124">
        <v>2023</v>
      </c>
      <c r="I3124" t="s">
        <v>3239</v>
      </c>
    </row>
    <row r="3125" spans="1:9" x14ac:dyDescent="0.3">
      <c r="A3125" t="s">
        <v>10150</v>
      </c>
      <c r="B3125" t="s">
        <v>42</v>
      </c>
      <c r="C3125">
        <v>7648876604</v>
      </c>
      <c r="D3125" s="2">
        <v>1</v>
      </c>
      <c r="E3125" t="str">
        <f>"4574674200797645"</f>
        <v>4574674200797645</v>
      </c>
      <c r="F3125" t="str">
        <f>"580"</f>
        <v>580</v>
      </c>
      <c r="G3125">
        <v>1</v>
      </c>
      <c r="H3125">
        <v>2023</v>
      </c>
      <c r="I3125" t="s">
        <v>3240</v>
      </c>
    </row>
    <row r="3126" spans="1:9" x14ac:dyDescent="0.3">
      <c r="A3126" t="s">
        <v>10150</v>
      </c>
      <c r="B3126" t="s">
        <v>42</v>
      </c>
      <c r="C3126">
        <v>7648876604</v>
      </c>
      <c r="D3126" s="2">
        <v>1</v>
      </c>
      <c r="E3126" t="str">
        <f>"4574674200797652"</f>
        <v>4574674200797652</v>
      </c>
      <c r="F3126" t="str">
        <f>"143"</f>
        <v>143</v>
      </c>
      <c r="G3126">
        <v>1</v>
      </c>
      <c r="H3126">
        <v>2023</v>
      </c>
      <c r="I3126" t="s">
        <v>3241</v>
      </c>
    </row>
    <row r="3127" spans="1:9" x14ac:dyDescent="0.3">
      <c r="A3127" t="s">
        <v>10150</v>
      </c>
      <c r="B3127" t="s">
        <v>42</v>
      </c>
      <c r="C3127">
        <v>7648876604</v>
      </c>
      <c r="D3127" s="2">
        <v>1</v>
      </c>
      <c r="E3127" t="str">
        <f>"4574674200797678"</f>
        <v>4574674200797678</v>
      </c>
      <c r="F3127" t="str">
        <f>"188"</f>
        <v>188</v>
      </c>
      <c r="G3127">
        <v>1</v>
      </c>
      <c r="H3127">
        <v>2023</v>
      </c>
      <c r="I3127" t="s">
        <v>3242</v>
      </c>
    </row>
    <row r="3128" spans="1:9" x14ac:dyDescent="0.3">
      <c r="A3128" t="s">
        <v>10150</v>
      </c>
      <c r="B3128" t="s">
        <v>42</v>
      </c>
      <c r="C3128">
        <v>7648876604</v>
      </c>
      <c r="D3128" s="2">
        <v>1</v>
      </c>
      <c r="E3128" t="str">
        <f>"4574674200797694"</f>
        <v>4574674200797694</v>
      </c>
      <c r="F3128" t="str">
        <f>"223"</f>
        <v>223</v>
      </c>
      <c r="G3128">
        <v>1</v>
      </c>
      <c r="H3128">
        <v>2023</v>
      </c>
      <c r="I3128" t="s">
        <v>3243</v>
      </c>
    </row>
    <row r="3129" spans="1:9" x14ac:dyDescent="0.3">
      <c r="A3129" t="s">
        <v>10150</v>
      </c>
      <c r="B3129" t="s">
        <v>42</v>
      </c>
      <c r="C3129">
        <v>7648876604</v>
      </c>
      <c r="D3129" s="2">
        <v>1</v>
      </c>
      <c r="E3129" t="str">
        <f>"4574674200797728"</f>
        <v>4574674200797728</v>
      </c>
      <c r="F3129" t="str">
        <f>"578"</f>
        <v>578</v>
      </c>
      <c r="G3129">
        <v>1</v>
      </c>
      <c r="H3129">
        <v>2023</v>
      </c>
      <c r="I3129" t="s">
        <v>3244</v>
      </c>
    </row>
    <row r="3130" spans="1:9" x14ac:dyDescent="0.3">
      <c r="A3130" t="s">
        <v>10151</v>
      </c>
      <c r="B3130" t="s">
        <v>43</v>
      </c>
      <c r="C3130">
        <v>7648876604</v>
      </c>
      <c r="D3130" s="2">
        <v>1</v>
      </c>
      <c r="E3130" t="str">
        <f>"4574674200797785"</f>
        <v>4574674200797785</v>
      </c>
      <c r="F3130" t="str">
        <f>"322"</f>
        <v>322</v>
      </c>
      <c r="G3130">
        <v>1</v>
      </c>
      <c r="H3130">
        <v>2023</v>
      </c>
      <c r="I3130" t="s">
        <v>3245</v>
      </c>
    </row>
    <row r="3131" spans="1:9" x14ac:dyDescent="0.3">
      <c r="A3131" t="s">
        <v>10151</v>
      </c>
      <c r="B3131" t="s">
        <v>43</v>
      </c>
      <c r="C3131">
        <v>7648876604</v>
      </c>
      <c r="D3131" s="2">
        <v>1</v>
      </c>
      <c r="E3131" t="str">
        <f>"4574674200797819"</f>
        <v>4574674200797819</v>
      </c>
      <c r="F3131" t="str">
        <f>"739"</f>
        <v>739</v>
      </c>
      <c r="G3131">
        <v>1</v>
      </c>
      <c r="H3131">
        <v>2023</v>
      </c>
      <c r="I3131" t="s">
        <v>3246</v>
      </c>
    </row>
    <row r="3132" spans="1:9" x14ac:dyDescent="0.3">
      <c r="A3132" t="s">
        <v>10151</v>
      </c>
      <c r="B3132" t="s">
        <v>43</v>
      </c>
      <c r="C3132">
        <v>7648876604</v>
      </c>
      <c r="D3132" s="2">
        <v>1</v>
      </c>
      <c r="E3132" t="str">
        <f>"4574674200797801"</f>
        <v>4574674200797801</v>
      </c>
      <c r="F3132" t="str">
        <f>"773"</f>
        <v>773</v>
      </c>
      <c r="G3132">
        <v>1</v>
      </c>
      <c r="H3132">
        <v>2023</v>
      </c>
      <c r="I3132" t="s">
        <v>3247</v>
      </c>
    </row>
    <row r="3133" spans="1:9" x14ac:dyDescent="0.3">
      <c r="A3133" t="s">
        <v>10151</v>
      </c>
      <c r="B3133" t="s">
        <v>43</v>
      </c>
      <c r="C3133">
        <v>7648876604</v>
      </c>
      <c r="D3133" s="2">
        <v>1</v>
      </c>
      <c r="E3133" t="str">
        <f>"4574674200797579"</f>
        <v>4574674200797579</v>
      </c>
      <c r="F3133" t="str">
        <f>"775"</f>
        <v>775</v>
      </c>
      <c r="G3133">
        <v>1</v>
      </c>
      <c r="H3133">
        <v>2023</v>
      </c>
      <c r="I3133" t="s">
        <v>3248</v>
      </c>
    </row>
    <row r="3134" spans="1:9" x14ac:dyDescent="0.3">
      <c r="A3134" t="s">
        <v>10151</v>
      </c>
      <c r="B3134" t="s">
        <v>43</v>
      </c>
      <c r="C3134">
        <v>7648876604</v>
      </c>
      <c r="D3134" s="2">
        <v>1</v>
      </c>
      <c r="E3134" t="str">
        <f>"4574674200797843"</f>
        <v>4574674200797843</v>
      </c>
      <c r="F3134" t="str">
        <f>"024"</f>
        <v>024</v>
      </c>
      <c r="G3134">
        <v>1</v>
      </c>
      <c r="H3134">
        <v>2023</v>
      </c>
      <c r="I3134" t="s">
        <v>3249</v>
      </c>
    </row>
    <row r="3135" spans="1:9" x14ac:dyDescent="0.3">
      <c r="A3135" t="s">
        <v>10151</v>
      </c>
      <c r="B3135" t="s">
        <v>43</v>
      </c>
      <c r="C3135">
        <v>7648876604</v>
      </c>
      <c r="D3135" s="2">
        <v>1</v>
      </c>
      <c r="E3135" t="str">
        <f>"4574674200797892"</f>
        <v>4574674200797892</v>
      </c>
      <c r="F3135" t="str">
        <f>"327"</f>
        <v>327</v>
      </c>
      <c r="G3135">
        <v>1</v>
      </c>
      <c r="H3135">
        <v>2023</v>
      </c>
      <c r="I3135" t="s">
        <v>3250</v>
      </c>
    </row>
    <row r="3136" spans="1:9" x14ac:dyDescent="0.3">
      <c r="A3136" t="s">
        <v>10151</v>
      </c>
      <c r="B3136" t="s">
        <v>43</v>
      </c>
      <c r="C3136">
        <v>7648876604</v>
      </c>
      <c r="D3136" s="2">
        <v>1</v>
      </c>
      <c r="E3136" t="str">
        <f>"4574674200797884"</f>
        <v>4574674200797884</v>
      </c>
      <c r="F3136" t="str">
        <f>"221"</f>
        <v>221</v>
      </c>
      <c r="G3136">
        <v>1</v>
      </c>
      <c r="H3136">
        <v>2023</v>
      </c>
      <c r="I3136" t="s">
        <v>3251</v>
      </c>
    </row>
    <row r="3137" spans="1:9" x14ac:dyDescent="0.3">
      <c r="A3137" t="s">
        <v>10151</v>
      </c>
      <c r="B3137" t="s">
        <v>43</v>
      </c>
      <c r="C3137">
        <v>7648876604</v>
      </c>
      <c r="D3137" s="2">
        <v>1</v>
      </c>
      <c r="E3137" t="str">
        <f>"4574674200797934"</f>
        <v>4574674200797934</v>
      </c>
      <c r="F3137" t="str">
        <f>"168"</f>
        <v>168</v>
      </c>
      <c r="G3137">
        <v>1</v>
      </c>
      <c r="H3137">
        <v>2023</v>
      </c>
      <c r="I3137" t="s">
        <v>3252</v>
      </c>
    </row>
    <row r="3138" spans="1:9" x14ac:dyDescent="0.3">
      <c r="A3138" t="s">
        <v>10151</v>
      </c>
      <c r="B3138" t="s">
        <v>43</v>
      </c>
      <c r="C3138">
        <v>7648876604</v>
      </c>
      <c r="D3138" s="2">
        <v>1</v>
      </c>
      <c r="E3138" t="str">
        <f>"4574674200797975"</f>
        <v>4574674200797975</v>
      </c>
      <c r="F3138" t="str">
        <f>"028"</f>
        <v>028</v>
      </c>
      <c r="G3138">
        <v>1</v>
      </c>
      <c r="H3138">
        <v>2023</v>
      </c>
      <c r="I3138" t="s">
        <v>3253</v>
      </c>
    </row>
    <row r="3139" spans="1:9" x14ac:dyDescent="0.3">
      <c r="A3139" t="s">
        <v>10151</v>
      </c>
      <c r="B3139" t="s">
        <v>43</v>
      </c>
      <c r="C3139">
        <v>7648876604</v>
      </c>
      <c r="D3139" s="2">
        <v>1</v>
      </c>
      <c r="E3139" t="str">
        <f>"4574674200797959"</f>
        <v>4574674200797959</v>
      </c>
      <c r="F3139" t="str">
        <f>"237"</f>
        <v>237</v>
      </c>
      <c r="G3139">
        <v>1</v>
      </c>
      <c r="H3139">
        <v>2023</v>
      </c>
      <c r="I3139" t="s">
        <v>3254</v>
      </c>
    </row>
    <row r="3140" spans="1:9" x14ac:dyDescent="0.3">
      <c r="A3140" t="s">
        <v>10152</v>
      </c>
      <c r="B3140" t="s">
        <v>44</v>
      </c>
      <c r="C3140">
        <v>7648876604</v>
      </c>
      <c r="D3140" s="2">
        <v>1</v>
      </c>
      <c r="E3140" t="str">
        <f>"4574674200797991"</f>
        <v>4574674200797991</v>
      </c>
      <c r="F3140" t="str">
        <f>"579"</f>
        <v>579</v>
      </c>
      <c r="G3140">
        <v>1</v>
      </c>
      <c r="H3140">
        <v>2023</v>
      </c>
      <c r="I3140" t="s">
        <v>3255</v>
      </c>
    </row>
    <row r="3141" spans="1:9" x14ac:dyDescent="0.3">
      <c r="A3141" t="s">
        <v>10152</v>
      </c>
      <c r="B3141" t="s">
        <v>44</v>
      </c>
      <c r="C3141">
        <v>7648876604</v>
      </c>
      <c r="D3141" s="2">
        <v>1</v>
      </c>
      <c r="E3141" t="str">
        <f>"4574674200798098"</f>
        <v>4574674200798098</v>
      </c>
      <c r="F3141" t="str">
        <f>"076"</f>
        <v>076</v>
      </c>
      <c r="G3141">
        <v>1</v>
      </c>
      <c r="H3141">
        <v>2023</v>
      </c>
      <c r="I3141" t="s">
        <v>3256</v>
      </c>
    </row>
    <row r="3142" spans="1:9" x14ac:dyDescent="0.3">
      <c r="A3142" t="s">
        <v>10152</v>
      </c>
      <c r="B3142" t="s">
        <v>44</v>
      </c>
      <c r="C3142">
        <v>7648876604</v>
      </c>
      <c r="D3142" s="2">
        <v>1</v>
      </c>
      <c r="E3142" t="str">
        <f>"4574674200798254"</f>
        <v>4574674200798254</v>
      </c>
      <c r="F3142" t="str">
        <f>"017"</f>
        <v>017</v>
      </c>
      <c r="G3142">
        <v>1</v>
      </c>
      <c r="H3142">
        <v>2023</v>
      </c>
      <c r="I3142" t="s">
        <v>3257</v>
      </c>
    </row>
    <row r="3143" spans="1:9" x14ac:dyDescent="0.3">
      <c r="A3143" t="s">
        <v>10152</v>
      </c>
      <c r="B3143" t="s">
        <v>44</v>
      </c>
      <c r="C3143">
        <v>7648876604</v>
      </c>
      <c r="D3143" s="2">
        <v>1</v>
      </c>
      <c r="E3143" t="str">
        <f>"4574674200798247"</f>
        <v>4574674200798247</v>
      </c>
      <c r="F3143" t="str">
        <f>"926"</f>
        <v>926</v>
      </c>
      <c r="G3143">
        <v>1</v>
      </c>
      <c r="H3143">
        <v>2023</v>
      </c>
      <c r="I3143" t="s">
        <v>3258</v>
      </c>
    </row>
    <row r="3144" spans="1:9" x14ac:dyDescent="0.3">
      <c r="A3144" t="s">
        <v>10152</v>
      </c>
      <c r="B3144" t="s">
        <v>44</v>
      </c>
      <c r="C3144">
        <v>7648876604</v>
      </c>
      <c r="D3144" s="2">
        <v>1</v>
      </c>
      <c r="E3144" t="str">
        <f>"4574674200798304"</f>
        <v>4574674200798304</v>
      </c>
      <c r="F3144" t="str">
        <f>"387"</f>
        <v>387</v>
      </c>
      <c r="G3144">
        <v>1</v>
      </c>
      <c r="H3144">
        <v>2023</v>
      </c>
      <c r="I3144" t="s">
        <v>3259</v>
      </c>
    </row>
    <row r="3145" spans="1:9" x14ac:dyDescent="0.3">
      <c r="A3145" t="s">
        <v>10152</v>
      </c>
      <c r="B3145" t="s">
        <v>44</v>
      </c>
      <c r="C3145">
        <v>7648876604</v>
      </c>
      <c r="D3145" s="2">
        <v>1</v>
      </c>
      <c r="E3145" t="str">
        <f>"4574674200798312"</f>
        <v>4574674200798312</v>
      </c>
      <c r="F3145" t="str">
        <f>"488"</f>
        <v>488</v>
      </c>
      <c r="G3145">
        <v>1</v>
      </c>
      <c r="H3145">
        <v>2023</v>
      </c>
      <c r="I3145" t="s">
        <v>3260</v>
      </c>
    </row>
    <row r="3146" spans="1:9" x14ac:dyDescent="0.3">
      <c r="A3146" t="s">
        <v>10152</v>
      </c>
      <c r="B3146" t="s">
        <v>44</v>
      </c>
      <c r="C3146">
        <v>7648876604</v>
      </c>
      <c r="D3146" s="2">
        <v>1</v>
      </c>
      <c r="E3146" t="str">
        <f>"4574674200798346"</f>
        <v>4574674200798346</v>
      </c>
      <c r="F3146" t="str">
        <f>"301"</f>
        <v>301</v>
      </c>
      <c r="G3146">
        <v>1</v>
      </c>
      <c r="H3146">
        <v>2023</v>
      </c>
      <c r="I3146" t="s">
        <v>3261</v>
      </c>
    </row>
    <row r="3147" spans="1:9" x14ac:dyDescent="0.3">
      <c r="A3147" t="s">
        <v>10152</v>
      </c>
      <c r="B3147" t="s">
        <v>44</v>
      </c>
      <c r="C3147">
        <v>7648876604</v>
      </c>
      <c r="D3147" s="2">
        <v>1</v>
      </c>
      <c r="E3147" t="str">
        <f>"4574674200798338"</f>
        <v>4574674200798338</v>
      </c>
      <c r="F3147" t="str">
        <f>"717"</f>
        <v>717</v>
      </c>
      <c r="G3147">
        <v>1</v>
      </c>
      <c r="H3147">
        <v>2023</v>
      </c>
      <c r="I3147" t="s">
        <v>3262</v>
      </c>
    </row>
    <row r="3148" spans="1:9" x14ac:dyDescent="0.3">
      <c r="A3148" t="s">
        <v>10152</v>
      </c>
      <c r="B3148" t="s">
        <v>44</v>
      </c>
      <c r="C3148">
        <v>7648876604</v>
      </c>
      <c r="D3148" s="2">
        <v>1</v>
      </c>
      <c r="E3148" t="str">
        <f>"4574674200798429"</f>
        <v>4574674200798429</v>
      </c>
      <c r="F3148" t="str">
        <f>"900"</f>
        <v>900</v>
      </c>
      <c r="G3148">
        <v>1</v>
      </c>
      <c r="H3148">
        <v>2023</v>
      </c>
      <c r="I3148" t="s">
        <v>3263</v>
      </c>
    </row>
    <row r="3149" spans="1:9" x14ac:dyDescent="0.3">
      <c r="A3149" t="s">
        <v>10152</v>
      </c>
      <c r="B3149" t="s">
        <v>44</v>
      </c>
      <c r="C3149">
        <v>7648876604</v>
      </c>
      <c r="D3149" s="2">
        <v>1</v>
      </c>
      <c r="E3149" t="str">
        <f>"4574674200798437"</f>
        <v>4574674200798437</v>
      </c>
      <c r="F3149" t="str">
        <f>"459"</f>
        <v>459</v>
      </c>
      <c r="G3149">
        <v>1</v>
      </c>
      <c r="H3149">
        <v>2023</v>
      </c>
      <c r="I3149" t="s">
        <v>3264</v>
      </c>
    </row>
    <row r="3150" spans="1:9" x14ac:dyDescent="0.3">
      <c r="A3150" t="s">
        <v>10153</v>
      </c>
      <c r="B3150" t="s">
        <v>45</v>
      </c>
      <c r="C3150">
        <v>7648876604</v>
      </c>
      <c r="D3150" s="2">
        <v>1</v>
      </c>
      <c r="E3150" t="str">
        <f>"4574674200798478"</f>
        <v>4574674200798478</v>
      </c>
      <c r="F3150" t="str">
        <f>"861"</f>
        <v>861</v>
      </c>
      <c r="G3150">
        <v>1</v>
      </c>
      <c r="H3150">
        <v>2023</v>
      </c>
      <c r="I3150" t="s">
        <v>3265</v>
      </c>
    </row>
    <row r="3151" spans="1:9" x14ac:dyDescent="0.3">
      <c r="A3151" t="s">
        <v>10153</v>
      </c>
      <c r="B3151" t="s">
        <v>45</v>
      </c>
      <c r="C3151">
        <v>7648876604</v>
      </c>
      <c r="D3151" s="2">
        <v>1</v>
      </c>
      <c r="E3151" t="str">
        <f>"4574674200798460"</f>
        <v>4574674200798460</v>
      </c>
      <c r="F3151" t="str">
        <f>"646"</f>
        <v>646</v>
      </c>
      <c r="G3151">
        <v>1</v>
      </c>
      <c r="H3151">
        <v>2023</v>
      </c>
      <c r="I3151" t="s">
        <v>3266</v>
      </c>
    </row>
    <row r="3152" spans="1:9" x14ac:dyDescent="0.3">
      <c r="A3152" t="s">
        <v>10153</v>
      </c>
      <c r="B3152" t="s">
        <v>45</v>
      </c>
      <c r="C3152">
        <v>7648876604</v>
      </c>
      <c r="D3152" s="2">
        <v>1</v>
      </c>
      <c r="E3152" t="str">
        <f>"4574674200798486"</f>
        <v>4574674200798486</v>
      </c>
      <c r="F3152" t="str">
        <f>"838"</f>
        <v>838</v>
      </c>
      <c r="G3152">
        <v>1</v>
      </c>
      <c r="H3152">
        <v>2023</v>
      </c>
      <c r="I3152" t="s">
        <v>3267</v>
      </c>
    </row>
    <row r="3153" spans="1:9" x14ac:dyDescent="0.3">
      <c r="A3153" t="s">
        <v>10153</v>
      </c>
      <c r="B3153" t="s">
        <v>45</v>
      </c>
      <c r="C3153">
        <v>7648876604</v>
      </c>
      <c r="D3153" s="2">
        <v>1</v>
      </c>
      <c r="E3153" t="str">
        <f>"4574674200798510"</f>
        <v>4574674200798510</v>
      </c>
      <c r="F3153" t="str">
        <f>"581"</f>
        <v>581</v>
      </c>
      <c r="G3153">
        <v>1</v>
      </c>
      <c r="H3153">
        <v>2023</v>
      </c>
      <c r="I3153" t="s">
        <v>3268</v>
      </c>
    </row>
    <row r="3154" spans="1:9" x14ac:dyDescent="0.3">
      <c r="A3154" t="s">
        <v>10153</v>
      </c>
      <c r="B3154" t="s">
        <v>45</v>
      </c>
      <c r="C3154">
        <v>7648876604</v>
      </c>
      <c r="D3154" s="2">
        <v>1</v>
      </c>
      <c r="E3154" t="str">
        <f>"4574674200798619"</f>
        <v>4574674200798619</v>
      </c>
      <c r="F3154" t="str">
        <f>"343"</f>
        <v>343</v>
      </c>
      <c r="G3154">
        <v>1</v>
      </c>
      <c r="H3154">
        <v>2023</v>
      </c>
      <c r="I3154" t="s">
        <v>3269</v>
      </c>
    </row>
    <row r="3155" spans="1:9" x14ac:dyDescent="0.3">
      <c r="A3155" t="s">
        <v>10153</v>
      </c>
      <c r="B3155" t="s">
        <v>45</v>
      </c>
      <c r="C3155">
        <v>7648876604</v>
      </c>
      <c r="D3155" s="2">
        <v>1</v>
      </c>
      <c r="E3155" t="str">
        <f>"4574674200798809"</f>
        <v>4574674200798809</v>
      </c>
      <c r="F3155" t="str">
        <f>"097"</f>
        <v>097</v>
      </c>
      <c r="G3155">
        <v>1</v>
      </c>
      <c r="H3155">
        <v>2023</v>
      </c>
      <c r="I3155" t="s">
        <v>3270</v>
      </c>
    </row>
    <row r="3156" spans="1:9" x14ac:dyDescent="0.3">
      <c r="A3156" t="s">
        <v>10153</v>
      </c>
      <c r="B3156" t="s">
        <v>45</v>
      </c>
      <c r="C3156">
        <v>7648876604</v>
      </c>
      <c r="D3156" s="2">
        <v>1</v>
      </c>
      <c r="E3156" t="str">
        <f>"4574674200798817"</f>
        <v>4574674200798817</v>
      </c>
      <c r="F3156" t="str">
        <f>"422"</f>
        <v>422</v>
      </c>
      <c r="G3156">
        <v>1</v>
      </c>
      <c r="H3156">
        <v>2023</v>
      </c>
      <c r="I3156" t="s">
        <v>3271</v>
      </c>
    </row>
    <row r="3157" spans="1:9" x14ac:dyDescent="0.3">
      <c r="A3157" t="s">
        <v>10153</v>
      </c>
      <c r="B3157" t="s">
        <v>45</v>
      </c>
      <c r="C3157">
        <v>7648876604</v>
      </c>
      <c r="D3157" s="2">
        <v>1</v>
      </c>
      <c r="E3157" t="str">
        <f>"4574674200798825"</f>
        <v>4574674200798825</v>
      </c>
      <c r="F3157" t="str">
        <f>"679"</f>
        <v>679</v>
      </c>
      <c r="G3157">
        <v>1</v>
      </c>
      <c r="H3157">
        <v>2023</v>
      </c>
      <c r="I3157" t="s">
        <v>3272</v>
      </c>
    </row>
    <row r="3158" spans="1:9" x14ac:dyDescent="0.3">
      <c r="A3158" t="s">
        <v>10153</v>
      </c>
      <c r="B3158" t="s">
        <v>45</v>
      </c>
      <c r="C3158">
        <v>7648876604</v>
      </c>
      <c r="D3158" s="2">
        <v>1</v>
      </c>
      <c r="E3158" t="str">
        <f>"4574674200798833"</f>
        <v>4574674200798833</v>
      </c>
      <c r="F3158" t="str">
        <f>"562"</f>
        <v>562</v>
      </c>
      <c r="G3158">
        <v>1</v>
      </c>
      <c r="H3158">
        <v>2023</v>
      </c>
      <c r="I3158" t="s">
        <v>3273</v>
      </c>
    </row>
    <row r="3159" spans="1:9" x14ac:dyDescent="0.3">
      <c r="A3159" t="s">
        <v>10153</v>
      </c>
      <c r="B3159" t="s">
        <v>45</v>
      </c>
      <c r="C3159">
        <v>7648876604</v>
      </c>
      <c r="D3159" s="2">
        <v>1</v>
      </c>
      <c r="E3159" t="str">
        <f>"4574674200798858"</f>
        <v>4574674200798858</v>
      </c>
      <c r="F3159" t="str">
        <f>"043"</f>
        <v>043</v>
      </c>
      <c r="G3159">
        <v>1</v>
      </c>
      <c r="H3159">
        <v>2023</v>
      </c>
      <c r="I3159" t="s">
        <v>3274</v>
      </c>
    </row>
    <row r="3160" spans="1:9" x14ac:dyDescent="0.3">
      <c r="A3160" t="s">
        <v>10142</v>
      </c>
      <c r="B3160" t="s">
        <v>34</v>
      </c>
      <c r="C3160">
        <v>7648876604</v>
      </c>
      <c r="D3160" s="2">
        <v>1</v>
      </c>
      <c r="E3160" t="str">
        <f>"4574674200798890"</f>
        <v>4574674200798890</v>
      </c>
      <c r="F3160" t="str">
        <f>"770"</f>
        <v>770</v>
      </c>
      <c r="G3160">
        <v>1</v>
      </c>
      <c r="H3160">
        <v>2023</v>
      </c>
      <c r="I3160" t="s">
        <v>3275</v>
      </c>
    </row>
    <row r="3161" spans="1:9" x14ac:dyDescent="0.3">
      <c r="A3161" t="s">
        <v>10142</v>
      </c>
      <c r="B3161" t="s">
        <v>34</v>
      </c>
      <c r="C3161">
        <v>7648876604</v>
      </c>
      <c r="D3161" s="2">
        <v>1</v>
      </c>
      <c r="E3161" t="str">
        <f>"4574674200798965"</f>
        <v>4574674200798965</v>
      </c>
      <c r="F3161" t="str">
        <f>"673"</f>
        <v>673</v>
      </c>
      <c r="G3161">
        <v>1</v>
      </c>
      <c r="H3161">
        <v>2023</v>
      </c>
      <c r="I3161" t="s">
        <v>3276</v>
      </c>
    </row>
    <row r="3162" spans="1:9" x14ac:dyDescent="0.3">
      <c r="A3162" t="s">
        <v>10142</v>
      </c>
      <c r="B3162" t="s">
        <v>34</v>
      </c>
      <c r="C3162">
        <v>7648876604</v>
      </c>
      <c r="D3162" s="2">
        <v>1</v>
      </c>
      <c r="E3162" t="str">
        <f>"4574674200798734"</f>
        <v>4574674200798734</v>
      </c>
      <c r="F3162" t="str">
        <f>"043"</f>
        <v>043</v>
      </c>
      <c r="G3162">
        <v>1</v>
      </c>
      <c r="H3162">
        <v>2023</v>
      </c>
      <c r="I3162" t="s">
        <v>3277</v>
      </c>
    </row>
    <row r="3163" spans="1:9" x14ac:dyDescent="0.3">
      <c r="A3163" t="s">
        <v>10142</v>
      </c>
      <c r="B3163" t="s">
        <v>34</v>
      </c>
      <c r="C3163">
        <v>7648876604</v>
      </c>
      <c r="D3163" s="2">
        <v>1</v>
      </c>
      <c r="E3163" t="str">
        <f>"4574674200798981"</f>
        <v>4574674200798981</v>
      </c>
      <c r="F3163" t="str">
        <f>"195"</f>
        <v>195</v>
      </c>
      <c r="G3163">
        <v>1</v>
      </c>
      <c r="H3163">
        <v>2023</v>
      </c>
      <c r="I3163" t="s">
        <v>3278</v>
      </c>
    </row>
    <row r="3164" spans="1:9" x14ac:dyDescent="0.3">
      <c r="A3164" t="s">
        <v>10142</v>
      </c>
      <c r="B3164" t="s">
        <v>34</v>
      </c>
      <c r="C3164">
        <v>7648876604</v>
      </c>
      <c r="D3164" s="2">
        <v>1</v>
      </c>
      <c r="E3164" t="str">
        <f>"4574674200799120"</f>
        <v>4574674200799120</v>
      </c>
      <c r="F3164" t="str">
        <f>"484"</f>
        <v>484</v>
      </c>
      <c r="G3164">
        <v>1</v>
      </c>
      <c r="H3164">
        <v>2023</v>
      </c>
      <c r="I3164" t="s">
        <v>3279</v>
      </c>
    </row>
    <row r="3165" spans="1:9" x14ac:dyDescent="0.3">
      <c r="A3165" t="s">
        <v>10142</v>
      </c>
      <c r="B3165" t="s">
        <v>34</v>
      </c>
      <c r="C3165">
        <v>7648876604</v>
      </c>
      <c r="D3165" s="2">
        <v>1</v>
      </c>
      <c r="E3165" t="str">
        <f>"4574674200799153"</f>
        <v>4574674200799153</v>
      </c>
      <c r="F3165" t="str">
        <f>"179"</f>
        <v>179</v>
      </c>
      <c r="G3165">
        <v>1</v>
      </c>
      <c r="H3165">
        <v>2023</v>
      </c>
      <c r="I3165" t="s">
        <v>3280</v>
      </c>
    </row>
    <row r="3166" spans="1:9" x14ac:dyDescent="0.3">
      <c r="A3166" t="s">
        <v>10142</v>
      </c>
      <c r="B3166" t="s">
        <v>34</v>
      </c>
      <c r="C3166">
        <v>7648876604</v>
      </c>
      <c r="D3166" s="2">
        <v>1</v>
      </c>
      <c r="E3166" t="str">
        <f>"4574674200799146"</f>
        <v>4574674200799146</v>
      </c>
      <c r="F3166" t="str">
        <f>"459"</f>
        <v>459</v>
      </c>
      <c r="G3166">
        <v>1</v>
      </c>
      <c r="H3166">
        <v>2023</v>
      </c>
      <c r="I3166" t="s">
        <v>3281</v>
      </c>
    </row>
    <row r="3167" spans="1:9" x14ac:dyDescent="0.3">
      <c r="A3167" t="s">
        <v>10142</v>
      </c>
      <c r="B3167" t="s">
        <v>34</v>
      </c>
      <c r="C3167">
        <v>7648876604</v>
      </c>
      <c r="D3167" s="2">
        <v>1</v>
      </c>
      <c r="E3167" t="str">
        <f>"4574674200799195"</f>
        <v>4574674200799195</v>
      </c>
      <c r="F3167" t="str">
        <f>"989"</f>
        <v>989</v>
      </c>
      <c r="G3167">
        <v>1</v>
      </c>
      <c r="H3167">
        <v>2023</v>
      </c>
      <c r="I3167" t="s">
        <v>3282</v>
      </c>
    </row>
    <row r="3168" spans="1:9" x14ac:dyDescent="0.3">
      <c r="A3168" t="s">
        <v>10142</v>
      </c>
      <c r="B3168" t="s">
        <v>34</v>
      </c>
      <c r="C3168">
        <v>7648876604</v>
      </c>
      <c r="D3168" s="2">
        <v>1</v>
      </c>
      <c r="E3168" t="str">
        <f>"4574674200799427"</f>
        <v>4574674200799427</v>
      </c>
      <c r="F3168" t="str">
        <f>"473"</f>
        <v>473</v>
      </c>
      <c r="G3168">
        <v>1</v>
      </c>
      <c r="H3168">
        <v>2023</v>
      </c>
      <c r="I3168" t="s">
        <v>3283</v>
      </c>
    </row>
    <row r="3169" spans="1:9" x14ac:dyDescent="0.3">
      <c r="A3169" t="s">
        <v>10142</v>
      </c>
      <c r="B3169" t="s">
        <v>34</v>
      </c>
      <c r="C3169">
        <v>7648876604</v>
      </c>
      <c r="D3169" s="2">
        <v>1</v>
      </c>
      <c r="E3169" t="str">
        <f>"4574674200799450"</f>
        <v>4574674200799450</v>
      </c>
      <c r="F3169" t="str">
        <f>"293"</f>
        <v>293</v>
      </c>
      <c r="G3169">
        <v>1</v>
      </c>
      <c r="H3169">
        <v>2023</v>
      </c>
      <c r="I3169" t="s">
        <v>3284</v>
      </c>
    </row>
    <row r="3170" spans="1:9" x14ac:dyDescent="0.3">
      <c r="A3170" t="s">
        <v>10154</v>
      </c>
      <c r="B3170" t="s">
        <v>46</v>
      </c>
      <c r="C3170">
        <v>7648876604</v>
      </c>
      <c r="D3170" s="2">
        <v>1</v>
      </c>
      <c r="E3170" t="str">
        <f>"4574674200799500"</f>
        <v>4574674200799500</v>
      </c>
      <c r="F3170" t="str">
        <f>"934"</f>
        <v>934</v>
      </c>
      <c r="G3170">
        <v>1</v>
      </c>
      <c r="H3170">
        <v>2023</v>
      </c>
      <c r="I3170" t="s">
        <v>3285</v>
      </c>
    </row>
    <row r="3171" spans="1:9" x14ac:dyDescent="0.3">
      <c r="A3171" t="s">
        <v>10154</v>
      </c>
      <c r="B3171" t="s">
        <v>46</v>
      </c>
      <c r="C3171">
        <v>7648876604</v>
      </c>
      <c r="D3171" s="2">
        <v>1</v>
      </c>
      <c r="E3171" t="str">
        <f>"4574674200799534"</f>
        <v>4574674200799534</v>
      </c>
      <c r="F3171" t="str">
        <f>"970"</f>
        <v>970</v>
      </c>
      <c r="G3171">
        <v>1</v>
      </c>
      <c r="H3171">
        <v>2023</v>
      </c>
      <c r="I3171" t="s">
        <v>3286</v>
      </c>
    </row>
    <row r="3172" spans="1:9" x14ac:dyDescent="0.3">
      <c r="A3172" t="s">
        <v>10154</v>
      </c>
      <c r="B3172" t="s">
        <v>46</v>
      </c>
      <c r="C3172">
        <v>7648876604</v>
      </c>
      <c r="D3172" s="2">
        <v>1</v>
      </c>
      <c r="E3172" t="str">
        <f>"4574674200799526"</f>
        <v>4574674200799526</v>
      </c>
      <c r="F3172" t="str">
        <f>"227"</f>
        <v>227</v>
      </c>
      <c r="G3172">
        <v>1</v>
      </c>
      <c r="H3172">
        <v>2023</v>
      </c>
      <c r="I3172" t="s">
        <v>3287</v>
      </c>
    </row>
    <row r="3173" spans="1:9" x14ac:dyDescent="0.3">
      <c r="A3173" t="s">
        <v>10154</v>
      </c>
      <c r="B3173" t="s">
        <v>46</v>
      </c>
      <c r="C3173">
        <v>7648876604</v>
      </c>
      <c r="D3173" s="2">
        <v>1</v>
      </c>
      <c r="E3173" t="str">
        <f>"4574674200799518"</f>
        <v>4574674200799518</v>
      </c>
      <c r="F3173" t="str">
        <f>"911"</f>
        <v>911</v>
      </c>
      <c r="G3173">
        <v>1</v>
      </c>
      <c r="H3173">
        <v>2023</v>
      </c>
      <c r="I3173" t="s">
        <v>3288</v>
      </c>
    </row>
    <row r="3174" spans="1:9" x14ac:dyDescent="0.3">
      <c r="A3174" t="s">
        <v>10154</v>
      </c>
      <c r="B3174" t="s">
        <v>46</v>
      </c>
      <c r="C3174">
        <v>7648876604</v>
      </c>
      <c r="D3174" s="2">
        <v>1</v>
      </c>
      <c r="E3174" t="str">
        <f>"4574674200799617"</f>
        <v>4574674200799617</v>
      </c>
      <c r="F3174" t="str">
        <f>"925"</f>
        <v>925</v>
      </c>
      <c r="G3174">
        <v>1</v>
      </c>
      <c r="H3174">
        <v>2023</v>
      </c>
      <c r="I3174" t="s">
        <v>3289</v>
      </c>
    </row>
    <row r="3175" spans="1:9" x14ac:dyDescent="0.3">
      <c r="A3175" t="s">
        <v>10154</v>
      </c>
      <c r="B3175" t="s">
        <v>46</v>
      </c>
      <c r="C3175">
        <v>7648876604</v>
      </c>
      <c r="D3175" s="2">
        <v>1</v>
      </c>
      <c r="E3175" t="str">
        <f>"4574674200799625"</f>
        <v>4574674200799625</v>
      </c>
      <c r="F3175" t="str">
        <f>"449"</f>
        <v>449</v>
      </c>
      <c r="G3175">
        <v>1</v>
      </c>
      <c r="H3175">
        <v>2023</v>
      </c>
      <c r="I3175" t="s">
        <v>3290</v>
      </c>
    </row>
    <row r="3176" spans="1:9" x14ac:dyDescent="0.3">
      <c r="A3176" t="s">
        <v>10154</v>
      </c>
      <c r="B3176" t="s">
        <v>46</v>
      </c>
      <c r="C3176">
        <v>7648876604</v>
      </c>
      <c r="D3176" s="2">
        <v>1</v>
      </c>
      <c r="E3176" t="str">
        <f>"4574674200799393"</f>
        <v>4574674200799393</v>
      </c>
      <c r="F3176" t="str">
        <f>"276"</f>
        <v>276</v>
      </c>
      <c r="G3176">
        <v>1</v>
      </c>
      <c r="H3176">
        <v>2023</v>
      </c>
      <c r="I3176" t="s">
        <v>3291</v>
      </c>
    </row>
    <row r="3177" spans="1:9" x14ac:dyDescent="0.3">
      <c r="A3177" t="s">
        <v>10154</v>
      </c>
      <c r="B3177" t="s">
        <v>46</v>
      </c>
      <c r="C3177">
        <v>7648876604</v>
      </c>
      <c r="D3177" s="2">
        <v>1</v>
      </c>
      <c r="E3177" t="str">
        <f>"4574674200799674"</f>
        <v>4574674200799674</v>
      </c>
      <c r="F3177" t="str">
        <f>"565"</f>
        <v>565</v>
      </c>
      <c r="G3177">
        <v>1</v>
      </c>
      <c r="H3177">
        <v>2023</v>
      </c>
      <c r="I3177" t="s">
        <v>3292</v>
      </c>
    </row>
    <row r="3178" spans="1:9" x14ac:dyDescent="0.3">
      <c r="A3178" t="s">
        <v>10154</v>
      </c>
      <c r="B3178" t="s">
        <v>46</v>
      </c>
      <c r="C3178">
        <v>7648876604</v>
      </c>
      <c r="D3178" s="2">
        <v>1</v>
      </c>
      <c r="E3178" t="str">
        <f>"4574674200799666"</f>
        <v>4574674200799666</v>
      </c>
      <c r="F3178" t="str">
        <f>"296"</f>
        <v>296</v>
      </c>
      <c r="G3178">
        <v>1</v>
      </c>
      <c r="H3178">
        <v>2023</v>
      </c>
      <c r="I3178" t="s">
        <v>3293</v>
      </c>
    </row>
    <row r="3179" spans="1:9" x14ac:dyDescent="0.3">
      <c r="A3179" t="s">
        <v>10154</v>
      </c>
      <c r="B3179" t="s">
        <v>46</v>
      </c>
      <c r="C3179">
        <v>7648876604</v>
      </c>
      <c r="D3179" s="2">
        <v>1</v>
      </c>
      <c r="E3179" t="str">
        <f>"4574674200799708"</f>
        <v>4574674200799708</v>
      </c>
      <c r="F3179" t="str">
        <f>"924"</f>
        <v>924</v>
      </c>
      <c r="G3179">
        <v>1</v>
      </c>
      <c r="H3179">
        <v>2023</v>
      </c>
      <c r="I3179" t="s">
        <v>3294</v>
      </c>
    </row>
    <row r="3180" spans="1:9" x14ac:dyDescent="0.3">
      <c r="A3180" t="s">
        <v>10155</v>
      </c>
      <c r="B3180" t="s">
        <v>47</v>
      </c>
      <c r="C3180">
        <v>7648876604</v>
      </c>
      <c r="D3180" s="2">
        <v>1</v>
      </c>
      <c r="E3180" t="str">
        <f>"4574674200799724"</f>
        <v>4574674200799724</v>
      </c>
      <c r="F3180" t="str">
        <f>"392"</f>
        <v>392</v>
      </c>
      <c r="G3180">
        <v>1</v>
      </c>
      <c r="H3180">
        <v>2023</v>
      </c>
      <c r="I3180" t="s">
        <v>3295</v>
      </c>
    </row>
    <row r="3181" spans="1:9" x14ac:dyDescent="0.3">
      <c r="A3181" t="s">
        <v>10155</v>
      </c>
      <c r="B3181" t="s">
        <v>47</v>
      </c>
      <c r="C3181">
        <v>7648876604</v>
      </c>
      <c r="D3181" s="2">
        <v>1</v>
      </c>
      <c r="E3181" t="str">
        <f>"4574674200799773"</f>
        <v>4574674200799773</v>
      </c>
      <c r="F3181" t="str">
        <f>"651"</f>
        <v>651</v>
      </c>
      <c r="G3181">
        <v>1</v>
      </c>
      <c r="H3181">
        <v>2023</v>
      </c>
      <c r="I3181" t="s">
        <v>3296</v>
      </c>
    </row>
    <row r="3182" spans="1:9" x14ac:dyDescent="0.3">
      <c r="A3182" t="s">
        <v>10155</v>
      </c>
      <c r="B3182" t="s">
        <v>47</v>
      </c>
      <c r="C3182">
        <v>7648876604</v>
      </c>
      <c r="D3182" s="2">
        <v>1</v>
      </c>
      <c r="E3182" t="str">
        <f>"4574674200799781"</f>
        <v>4574674200799781</v>
      </c>
      <c r="F3182" t="str">
        <f>"743"</f>
        <v>743</v>
      </c>
      <c r="G3182">
        <v>1</v>
      </c>
      <c r="H3182">
        <v>2023</v>
      </c>
      <c r="I3182" t="s">
        <v>3297</v>
      </c>
    </row>
    <row r="3183" spans="1:9" x14ac:dyDescent="0.3">
      <c r="A3183" t="s">
        <v>10155</v>
      </c>
      <c r="B3183" t="s">
        <v>47</v>
      </c>
      <c r="C3183">
        <v>7648876604</v>
      </c>
      <c r="D3183" s="2">
        <v>1</v>
      </c>
      <c r="E3183" t="str">
        <f>"4574674200800001"</f>
        <v>4574674200800001</v>
      </c>
      <c r="F3183" t="str">
        <f>"740"</f>
        <v>740</v>
      </c>
      <c r="G3183">
        <v>1</v>
      </c>
      <c r="H3183">
        <v>2023</v>
      </c>
      <c r="I3183" t="s">
        <v>3298</v>
      </c>
    </row>
    <row r="3184" spans="1:9" x14ac:dyDescent="0.3">
      <c r="A3184" t="s">
        <v>10155</v>
      </c>
      <c r="B3184" t="s">
        <v>47</v>
      </c>
      <c r="C3184">
        <v>7648876604</v>
      </c>
      <c r="D3184" s="2">
        <v>1</v>
      </c>
      <c r="E3184" t="str">
        <f>"4574674200800050"</f>
        <v>4574674200800050</v>
      </c>
      <c r="F3184" t="str">
        <f>"563"</f>
        <v>563</v>
      </c>
      <c r="G3184">
        <v>1</v>
      </c>
      <c r="H3184">
        <v>2023</v>
      </c>
      <c r="I3184" t="s">
        <v>3299</v>
      </c>
    </row>
    <row r="3185" spans="1:9" x14ac:dyDescent="0.3">
      <c r="A3185" t="s">
        <v>10155</v>
      </c>
      <c r="B3185" t="s">
        <v>47</v>
      </c>
      <c r="C3185">
        <v>7648876604</v>
      </c>
      <c r="D3185" s="2">
        <v>1</v>
      </c>
      <c r="E3185" t="str">
        <f>"4574674200800043"</f>
        <v>4574674200800043</v>
      </c>
      <c r="F3185" t="str">
        <f>"593"</f>
        <v>593</v>
      </c>
      <c r="G3185">
        <v>1</v>
      </c>
      <c r="H3185">
        <v>2023</v>
      </c>
      <c r="I3185" t="s">
        <v>3300</v>
      </c>
    </row>
    <row r="3186" spans="1:9" x14ac:dyDescent="0.3">
      <c r="A3186" t="s">
        <v>10155</v>
      </c>
      <c r="B3186" t="s">
        <v>47</v>
      </c>
      <c r="C3186">
        <v>7648876604</v>
      </c>
      <c r="D3186" s="2">
        <v>1</v>
      </c>
      <c r="E3186" t="str">
        <f>"4574674200800076"</f>
        <v>4574674200800076</v>
      </c>
      <c r="F3186" t="str">
        <f>"422"</f>
        <v>422</v>
      </c>
      <c r="G3186">
        <v>1</v>
      </c>
      <c r="H3186">
        <v>2023</v>
      </c>
      <c r="I3186" t="s">
        <v>3301</v>
      </c>
    </row>
    <row r="3187" spans="1:9" x14ac:dyDescent="0.3">
      <c r="A3187" t="s">
        <v>10155</v>
      </c>
      <c r="B3187" t="s">
        <v>47</v>
      </c>
      <c r="C3187">
        <v>7648876604</v>
      </c>
      <c r="D3187" s="2">
        <v>1</v>
      </c>
      <c r="E3187" t="str">
        <f>"4574674200799906"</f>
        <v>4574674200799906</v>
      </c>
      <c r="F3187" t="str">
        <f>"437"</f>
        <v>437</v>
      </c>
      <c r="G3187">
        <v>1</v>
      </c>
      <c r="H3187">
        <v>2023</v>
      </c>
      <c r="I3187" t="s">
        <v>3302</v>
      </c>
    </row>
    <row r="3188" spans="1:9" x14ac:dyDescent="0.3">
      <c r="A3188" t="s">
        <v>10155</v>
      </c>
      <c r="B3188" t="s">
        <v>47</v>
      </c>
      <c r="C3188">
        <v>7648876604</v>
      </c>
      <c r="D3188" s="2">
        <v>1</v>
      </c>
      <c r="E3188" t="str">
        <f>"4574674200800100"</f>
        <v>4574674200800100</v>
      </c>
      <c r="F3188" t="str">
        <f>"144"</f>
        <v>144</v>
      </c>
      <c r="G3188">
        <v>1</v>
      </c>
      <c r="H3188">
        <v>2023</v>
      </c>
      <c r="I3188" t="s">
        <v>3303</v>
      </c>
    </row>
    <row r="3189" spans="1:9" x14ac:dyDescent="0.3">
      <c r="A3189" t="s">
        <v>10155</v>
      </c>
      <c r="B3189" t="s">
        <v>47</v>
      </c>
      <c r="C3189">
        <v>7648876604</v>
      </c>
      <c r="D3189" s="2">
        <v>1</v>
      </c>
      <c r="E3189" t="str">
        <f>"4574674200800142"</f>
        <v>4574674200800142</v>
      </c>
      <c r="F3189" t="str">
        <f>"357"</f>
        <v>357</v>
      </c>
      <c r="G3189">
        <v>1</v>
      </c>
      <c r="H3189">
        <v>2023</v>
      </c>
      <c r="I3189" t="s">
        <v>3304</v>
      </c>
    </row>
    <row r="3190" spans="1:9" x14ac:dyDescent="0.3">
      <c r="A3190" t="s">
        <v>10156</v>
      </c>
      <c r="B3190" t="s">
        <v>48</v>
      </c>
      <c r="C3190">
        <v>7648876604</v>
      </c>
      <c r="D3190" s="2">
        <v>1</v>
      </c>
      <c r="E3190" t="str">
        <f>"4574674200800159"</f>
        <v>4574674200800159</v>
      </c>
      <c r="F3190" t="str">
        <f>"756"</f>
        <v>756</v>
      </c>
      <c r="G3190">
        <v>1</v>
      </c>
      <c r="H3190">
        <v>2023</v>
      </c>
      <c r="I3190" t="s">
        <v>3305</v>
      </c>
    </row>
    <row r="3191" spans="1:9" x14ac:dyDescent="0.3">
      <c r="A3191" t="s">
        <v>10156</v>
      </c>
      <c r="B3191" t="s">
        <v>48</v>
      </c>
      <c r="C3191">
        <v>7648876604</v>
      </c>
      <c r="D3191" s="2">
        <v>1</v>
      </c>
      <c r="E3191" t="str">
        <f>"4574674200800175"</f>
        <v>4574674200800175</v>
      </c>
      <c r="F3191" t="str">
        <f>"645"</f>
        <v>645</v>
      </c>
      <c r="G3191">
        <v>1</v>
      </c>
      <c r="H3191">
        <v>2023</v>
      </c>
      <c r="I3191" t="s">
        <v>3306</v>
      </c>
    </row>
    <row r="3192" spans="1:9" x14ac:dyDescent="0.3">
      <c r="A3192" t="s">
        <v>10156</v>
      </c>
      <c r="B3192" t="s">
        <v>48</v>
      </c>
      <c r="C3192">
        <v>7648876604</v>
      </c>
      <c r="D3192" s="2">
        <v>1</v>
      </c>
      <c r="E3192" t="str">
        <f>"4574674200800233"</f>
        <v>4574674200800233</v>
      </c>
      <c r="F3192" t="str">
        <f>"848"</f>
        <v>848</v>
      </c>
      <c r="G3192">
        <v>1</v>
      </c>
      <c r="H3192">
        <v>2023</v>
      </c>
      <c r="I3192" t="s">
        <v>3307</v>
      </c>
    </row>
    <row r="3193" spans="1:9" x14ac:dyDescent="0.3">
      <c r="A3193" t="s">
        <v>10156</v>
      </c>
      <c r="B3193" t="s">
        <v>48</v>
      </c>
      <c r="C3193">
        <v>7648876604</v>
      </c>
      <c r="D3193" s="2">
        <v>1</v>
      </c>
      <c r="E3193" t="str">
        <f>"4574674200800241"</f>
        <v>4574674200800241</v>
      </c>
      <c r="F3193" t="str">
        <f>"351"</f>
        <v>351</v>
      </c>
      <c r="G3193">
        <v>1</v>
      </c>
      <c r="H3193">
        <v>2023</v>
      </c>
      <c r="I3193" t="s">
        <v>3308</v>
      </c>
    </row>
    <row r="3194" spans="1:9" x14ac:dyDescent="0.3">
      <c r="A3194" t="s">
        <v>10156</v>
      </c>
      <c r="B3194" t="s">
        <v>48</v>
      </c>
      <c r="C3194">
        <v>7648876604</v>
      </c>
      <c r="D3194" s="2">
        <v>1</v>
      </c>
      <c r="E3194" t="str">
        <f>"4574674200800290"</f>
        <v>4574674200800290</v>
      </c>
      <c r="F3194" t="str">
        <f>"220"</f>
        <v>220</v>
      </c>
      <c r="G3194">
        <v>1</v>
      </c>
      <c r="H3194">
        <v>2023</v>
      </c>
      <c r="I3194" t="s">
        <v>3309</v>
      </c>
    </row>
    <row r="3195" spans="1:9" x14ac:dyDescent="0.3">
      <c r="A3195" t="s">
        <v>10156</v>
      </c>
      <c r="B3195" t="s">
        <v>48</v>
      </c>
      <c r="C3195">
        <v>7648876604</v>
      </c>
      <c r="D3195" s="2">
        <v>1</v>
      </c>
      <c r="E3195" t="str">
        <f>"4574674200800274"</f>
        <v>4574674200800274</v>
      </c>
      <c r="F3195" t="str">
        <f>"056"</f>
        <v>056</v>
      </c>
      <c r="G3195">
        <v>1</v>
      </c>
      <c r="H3195">
        <v>2023</v>
      </c>
      <c r="I3195" t="s">
        <v>3310</v>
      </c>
    </row>
    <row r="3196" spans="1:9" x14ac:dyDescent="0.3">
      <c r="A3196" t="s">
        <v>10156</v>
      </c>
      <c r="B3196" t="s">
        <v>48</v>
      </c>
      <c r="C3196">
        <v>7648876604</v>
      </c>
      <c r="D3196" s="2">
        <v>1</v>
      </c>
      <c r="E3196" t="str">
        <f>"4574674200800316"</f>
        <v>4574674200800316</v>
      </c>
      <c r="F3196" t="str">
        <f>"084"</f>
        <v>084</v>
      </c>
      <c r="G3196">
        <v>1</v>
      </c>
      <c r="H3196">
        <v>2023</v>
      </c>
      <c r="I3196" t="s">
        <v>3311</v>
      </c>
    </row>
    <row r="3197" spans="1:9" x14ac:dyDescent="0.3">
      <c r="A3197" t="s">
        <v>10156</v>
      </c>
      <c r="B3197" t="s">
        <v>48</v>
      </c>
      <c r="C3197">
        <v>7648876604</v>
      </c>
      <c r="D3197" s="2">
        <v>1</v>
      </c>
      <c r="E3197" t="str">
        <f>"4574674200800324"</f>
        <v>4574674200800324</v>
      </c>
      <c r="F3197" t="str">
        <f>"187"</f>
        <v>187</v>
      </c>
      <c r="G3197">
        <v>1</v>
      </c>
      <c r="H3197">
        <v>2023</v>
      </c>
      <c r="I3197" t="s">
        <v>3312</v>
      </c>
    </row>
    <row r="3198" spans="1:9" x14ac:dyDescent="0.3">
      <c r="A3198" t="s">
        <v>10156</v>
      </c>
      <c r="B3198" t="s">
        <v>48</v>
      </c>
      <c r="C3198">
        <v>7648876604</v>
      </c>
      <c r="D3198" s="2">
        <v>1</v>
      </c>
      <c r="E3198" t="str">
        <f>"4574674200800449"</f>
        <v>4574674200800449</v>
      </c>
      <c r="F3198" t="str">
        <f>"156"</f>
        <v>156</v>
      </c>
      <c r="G3198">
        <v>1</v>
      </c>
      <c r="H3198">
        <v>2023</v>
      </c>
      <c r="I3198" t="s">
        <v>3313</v>
      </c>
    </row>
    <row r="3199" spans="1:9" x14ac:dyDescent="0.3">
      <c r="A3199" t="s">
        <v>10156</v>
      </c>
      <c r="B3199" t="s">
        <v>48</v>
      </c>
      <c r="C3199">
        <v>7648876604</v>
      </c>
      <c r="D3199" s="2">
        <v>1</v>
      </c>
      <c r="E3199" t="str">
        <f>"4574674200800399"</f>
        <v>4574674200800399</v>
      </c>
      <c r="F3199" t="str">
        <f>"628"</f>
        <v>628</v>
      </c>
      <c r="G3199">
        <v>1</v>
      </c>
      <c r="H3199">
        <v>2023</v>
      </c>
      <c r="I3199" t="s">
        <v>3314</v>
      </c>
    </row>
    <row r="3200" spans="1:9" x14ac:dyDescent="0.3">
      <c r="A3200" t="s">
        <v>10139</v>
      </c>
      <c r="B3200" t="s">
        <v>31</v>
      </c>
      <c r="C3200">
        <v>7648876604</v>
      </c>
      <c r="D3200" s="2">
        <v>1</v>
      </c>
      <c r="E3200" t="str">
        <f>"4574674200800605"</f>
        <v>4574674200800605</v>
      </c>
      <c r="F3200" t="str">
        <f>"686"</f>
        <v>686</v>
      </c>
      <c r="G3200">
        <v>1</v>
      </c>
      <c r="H3200">
        <v>2023</v>
      </c>
      <c r="I3200" t="s">
        <v>3315</v>
      </c>
    </row>
    <row r="3201" spans="1:9" x14ac:dyDescent="0.3">
      <c r="A3201" t="s">
        <v>10139</v>
      </c>
      <c r="B3201" t="s">
        <v>31</v>
      </c>
      <c r="C3201">
        <v>7648876604</v>
      </c>
      <c r="D3201" s="2">
        <v>1</v>
      </c>
      <c r="E3201" t="str">
        <f>"4574674200800639"</f>
        <v>4574674200800639</v>
      </c>
      <c r="F3201" t="str">
        <f>"699"</f>
        <v>699</v>
      </c>
      <c r="G3201">
        <v>1</v>
      </c>
      <c r="H3201">
        <v>2023</v>
      </c>
      <c r="I3201" t="s">
        <v>3316</v>
      </c>
    </row>
    <row r="3202" spans="1:9" x14ac:dyDescent="0.3">
      <c r="A3202" t="s">
        <v>10139</v>
      </c>
      <c r="B3202" t="s">
        <v>31</v>
      </c>
      <c r="C3202">
        <v>7648876604</v>
      </c>
      <c r="D3202" s="2">
        <v>1</v>
      </c>
      <c r="E3202" t="str">
        <f>"4574674200800530"</f>
        <v>4574674200800530</v>
      </c>
      <c r="F3202" t="str">
        <f>"371"</f>
        <v>371</v>
      </c>
      <c r="G3202">
        <v>1</v>
      </c>
      <c r="H3202">
        <v>2023</v>
      </c>
      <c r="I3202" t="s">
        <v>3317</v>
      </c>
    </row>
    <row r="3203" spans="1:9" x14ac:dyDescent="0.3">
      <c r="A3203" t="s">
        <v>10139</v>
      </c>
      <c r="B3203" t="s">
        <v>31</v>
      </c>
      <c r="C3203">
        <v>7648876604</v>
      </c>
      <c r="D3203" s="2">
        <v>1</v>
      </c>
      <c r="E3203" t="str">
        <f>"4574674200800852"</f>
        <v>4574674200800852</v>
      </c>
      <c r="F3203" t="str">
        <f>"132"</f>
        <v>132</v>
      </c>
      <c r="G3203">
        <v>1</v>
      </c>
      <c r="H3203">
        <v>2023</v>
      </c>
      <c r="I3203" t="s">
        <v>3318</v>
      </c>
    </row>
    <row r="3204" spans="1:9" x14ac:dyDescent="0.3">
      <c r="A3204" t="s">
        <v>10139</v>
      </c>
      <c r="B3204" t="s">
        <v>31</v>
      </c>
      <c r="C3204">
        <v>7648876604</v>
      </c>
      <c r="D3204" s="2">
        <v>1</v>
      </c>
      <c r="E3204" t="str">
        <f>"4574674200800811"</f>
        <v>4574674200800811</v>
      </c>
      <c r="F3204" t="str">
        <f>"654"</f>
        <v>654</v>
      </c>
      <c r="G3204">
        <v>1</v>
      </c>
      <c r="H3204">
        <v>2023</v>
      </c>
      <c r="I3204" t="s">
        <v>3319</v>
      </c>
    </row>
    <row r="3205" spans="1:9" x14ac:dyDescent="0.3">
      <c r="A3205" t="s">
        <v>10139</v>
      </c>
      <c r="B3205" t="s">
        <v>31</v>
      </c>
      <c r="C3205">
        <v>7648876604</v>
      </c>
      <c r="D3205" s="2">
        <v>1</v>
      </c>
      <c r="E3205" t="str">
        <f>"4574674200800837"</f>
        <v>4574674200800837</v>
      </c>
      <c r="F3205" t="str">
        <f>"853"</f>
        <v>853</v>
      </c>
      <c r="G3205">
        <v>1</v>
      </c>
      <c r="H3205">
        <v>2023</v>
      </c>
      <c r="I3205" t="s">
        <v>3320</v>
      </c>
    </row>
    <row r="3206" spans="1:9" x14ac:dyDescent="0.3">
      <c r="A3206" t="s">
        <v>10139</v>
      </c>
      <c r="B3206" t="s">
        <v>31</v>
      </c>
      <c r="C3206">
        <v>7648876604</v>
      </c>
      <c r="D3206" s="2">
        <v>1</v>
      </c>
      <c r="E3206" t="str">
        <f>"4574674200800894"</f>
        <v>4574674200800894</v>
      </c>
      <c r="F3206" t="str">
        <f>"930"</f>
        <v>930</v>
      </c>
      <c r="G3206">
        <v>1</v>
      </c>
      <c r="H3206">
        <v>2023</v>
      </c>
      <c r="I3206" t="s">
        <v>3321</v>
      </c>
    </row>
    <row r="3207" spans="1:9" x14ac:dyDescent="0.3">
      <c r="A3207" t="s">
        <v>10139</v>
      </c>
      <c r="B3207" t="s">
        <v>31</v>
      </c>
      <c r="C3207">
        <v>7648876604</v>
      </c>
      <c r="D3207" s="2">
        <v>1</v>
      </c>
      <c r="E3207" t="str">
        <f>"4574674200800910"</f>
        <v>4574674200800910</v>
      </c>
      <c r="F3207" t="str">
        <f>"379"</f>
        <v>379</v>
      </c>
      <c r="G3207">
        <v>1</v>
      </c>
      <c r="H3207">
        <v>2023</v>
      </c>
      <c r="I3207" t="s">
        <v>3322</v>
      </c>
    </row>
    <row r="3208" spans="1:9" x14ac:dyDescent="0.3">
      <c r="A3208" t="s">
        <v>10139</v>
      </c>
      <c r="B3208" t="s">
        <v>31</v>
      </c>
      <c r="C3208">
        <v>7648876604</v>
      </c>
      <c r="D3208" s="2">
        <v>1</v>
      </c>
      <c r="E3208" t="str">
        <f>"4574674200801058"</f>
        <v>4574674200801058</v>
      </c>
      <c r="F3208" t="str">
        <f>"030"</f>
        <v>030</v>
      </c>
      <c r="G3208">
        <v>1</v>
      </c>
      <c r="H3208">
        <v>2023</v>
      </c>
      <c r="I3208" t="s">
        <v>3323</v>
      </c>
    </row>
    <row r="3209" spans="1:9" x14ac:dyDescent="0.3">
      <c r="A3209" t="s">
        <v>10139</v>
      </c>
      <c r="B3209" t="s">
        <v>31</v>
      </c>
      <c r="C3209">
        <v>7648876604</v>
      </c>
      <c r="D3209" s="2">
        <v>1</v>
      </c>
      <c r="E3209" t="str">
        <f>"4574674200800969"</f>
        <v>4574674200800969</v>
      </c>
      <c r="F3209" t="str">
        <f>"340"</f>
        <v>340</v>
      </c>
      <c r="G3209">
        <v>1</v>
      </c>
      <c r="H3209">
        <v>2023</v>
      </c>
      <c r="I3209" t="s">
        <v>3324</v>
      </c>
    </row>
    <row r="3210" spans="1:9" x14ac:dyDescent="0.3">
      <c r="A3210" t="s">
        <v>10138</v>
      </c>
      <c r="B3210" t="s">
        <v>30</v>
      </c>
      <c r="C3210">
        <v>7648876604</v>
      </c>
      <c r="D3210" s="2">
        <v>1</v>
      </c>
      <c r="E3210" t="str">
        <f>"4574674200800985"</f>
        <v>4574674200800985</v>
      </c>
      <c r="F3210" t="str">
        <f>"420"</f>
        <v>420</v>
      </c>
      <c r="G3210">
        <v>1</v>
      </c>
      <c r="H3210">
        <v>2023</v>
      </c>
      <c r="I3210" t="s">
        <v>3325</v>
      </c>
    </row>
    <row r="3211" spans="1:9" x14ac:dyDescent="0.3">
      <c r="A3211" t="s">
        <v>10138</v>
      </c>
      <c r="B3211" t="s">
        <v>30</v>
      </c>
      <c r="C3211">
        <v>7648876604</v>
      </c>
      <c r="D3211" s="2">
        <v>1</v>
      </c>
      <c r="E3211" t="str">
        <f>"4574674200801207"</f>
        <v>4574674200801207</v>
      </c>
      <c r="F3211" t="str">
        <f>"802"</f>
        <v>802</v>
      </c>
      <c r="G3211">
        <v>1</v>
      </c>
      <c r="H3211">
        <v>2023</v>
      </c>
      <c r="I3211" t="s">
        <v>3326</v>
      </c>
    </row>
    <row r="3212" spans="1:9" x14ac:dyDescent="0.3">
      <c r="A3212" t="s">
        <v>10138</v>
      </c>
      <c r="B3212" t="s">
        <v>30</v>
      </c>
      <c r="C3212">
        <v>7648876604</v>
      </c>
      <c r="D3212" s="2">
        <v>1</v>
      </c>
      <c r="E3212" t="str">
        <f>"4574674200800993"</f>
        <v>4574674200800993</v>
      </c>
      <c r="F3212" t="str">
        <f>"424"</f>
        <v>424</v>
      </c>
      <c r="G3212">
        <v>1</v>
      </c>
      <c r="H3212">
        <v>2023</v>
      </c>
      <c r="I3212" t="s">
        <v>3327</v>
      </c>
    </row>
    <row r="3213" spans="1:9" x14ac:dyDescent="0.3">
      <c r="A3213" t="s">
        <v>10138</v>
      </c>
      <c r="B3213" t="s">
        <v>30</v>
      </c>
      <c r="C3213">
        <v>7648876604</v>
      </c>
      <c r="D3213" s="2">
        <v>1</v>
      </c>
      <c r="E3213" t="str">
        <f>"4574674200801249"</f>
        <v>4574674200801249</v>
      </c>
      <c r="F3213" t="str">
        <f>"926"</f>
        <v>926</v>
      </c>
      <c r="G3213">
        <v>1</v>
      </c>
      <c r="H3213">
        <v>2023</v>
      </c>
      <c r="I3213" t="s">
        <v>3328</v>
      </c>
    </row>
    <row r="3214" spans="1:9" x14ac:dyDescent="0.3">
      <c r="A3214" t="s">
        <v>10138</v>
      </c>
      <c r="B3214" t="s">
        <v>30</v>
      </c>
      <c r="C3214">
        <v>7648876604</v>
      </c>
      <c r="D3214" s="2">
        <v>1</v>
      </c>
      <c r="E3214" t="str">
        <f>"4574674200801264"</f>
        <v>4574674200801264</v>
      </c>
      <c r="F3214" t="str">
        <f>"513"</f>
        <v>513</v>
      </c>
      <c r="G3214">
        <v>1</v>
      </c>
      <c r="H3214">
        <v>2023</v>
      </c>
      <c r="I3214" t="s">
        <v>3329</v>
      </c>
    </row>
    <row r="3215" spans="1:9" x14ac:dyDescent="0.3">
      <c r="A3215" t="s">
        <v>10138</v>
      </c>
      <c r="B3215" t="s">
        <v>30</v>
      </c>
      <c r="C3215">
        <v>7648876604</v>
      </c>
      <c r="D3215" s="2">
        <v>1</v>
      </c>
      <c r="E3215" t="str">
        <f>"4574674200801322"</f>
        <v>4574674200801322</v>
      </c>
      <c r="F3215" t="str">
        <f>"442"</f>
        <v>442</v>
      </c>
      <c r="G3215">
        <v>1</v>
      </c>
      <c r="H3215">
        <v>2023</v>
      </c>
      <c r="I3215" t="s">
        <v>3330</v>
      </c>
    </row>
    <row r="3216" spans="1:9" x14ac:dyDescent="0.3">
      <c r="A3216" t="s">
        <v>10138</v>
      </c>
      <c r="B3216" t="s">
        <v>30</v>
      </c>
      <c r="C3216">
        <v>7648876604</v>
      </c>
      <c r="D3216" s="2">
        <v>1</v>
      </c>
      <c r="E3216" t="str">
        <f>"4574674200801173"</f>
        <v>4574674200801173</v>
      </c>
      <c r="F3216" t="str">
        <f>"421"</f>
        <v>421</v>
      </c>
      <c r="G3216">
        <v>1</v>
      </c>
      <c r="H3216">
        <v>2023</v>
      </c>
      <c r="I3216" t="s">
        <v>3331</v>
      </c>
    </row>
    <row r="3217" spans="1:9" x14ac:dyDescent="0.3">
      <c r="A3217" t="s">
        <v>10138</v>
      </c>
      <c r="B3217" t="s">
        <v>30</v>
      </c>
      <c r="C3217">
        <v>7648876604</v>
      </c>
      <c r="D3217" s="2">
        <v>1</v>
      </c>
      <c r="E3217" t="str">
        <f>"4574674200801348"</f>
        <v>4574674200801348</v>
      </c>
      <c r="F3217" t="str">
        <f>"895"</f>
        <v>895</v>
      </c>
      <c r="G3217">
        <v>1</v>
      </c>
      <c r="H3217">
        <v>2023</v>
      </c>
      <c r="I3217" t="s">
        <v>3332</v>
      </c>
    </row>
    <row r="3218" spans="1:9" x14ac:dyDescent="0.3">
      <c r="A3218" t="s">
        <v>10138</v>
      </c>
      <c r="B3218" t="s">
        <v>30</v>
      </c>
      <c r="C3218">
        <v>7648876604</v>
      </c>
      <c r="D3218" s="2">
        <v>1</v>
      </c>
      <c r="E3218" t="str">
        <f>"4574674200801355"</f>
        <v>4574674200801355</v>
      </c>
      <c r="F3218" t="str">
        <f>"201"</f>
        <v>201</v>
      </c>
      <c r="G3218">
        <v>1</v>
      </c>
      <c r="H3218">
        <v>2023</v>
      </c>
      <c r="I3218" t="s">
        <v>3333</v>
      </c>
    </row>
    <row r="3219" spans="1:9" x14ac:dyDescent="0.3">
      <c r="A3219" t="s">
        <v>10138</v>
      </c>
      <c r="B3219" t="s">
        <v>30</v>
      </c>
      <c r="C3219">
        <v>7648876604</v>
      </c>
      <c r="D3219" s="2">
        <v>1</v>
      </c>
      <c r="E3219" t="str">
        <f>"4574674200801363"</f>
        <v>4574674200801363</v>
      </c>
      <c r="F3219" t="str">
        <f>"762"</f>
        <v>762</v>
      </c>
      <c r="G3219">
        <v>1</v>
      </c>
      <c r="H3219">
        <v>2023</v>
      </c>
      <c r="I3219" t="s">
        <v>3334</v>
      </c>
    </row>
    <row r="3220" spans="1:9" x14ac:dyDescent="0.3">
      <c r="A3220" t="s">
        <v>10157</v>
      </c>
      <c r="B3220" t="s">
        <v>49</v>
      </c>
      <c r="C3220">
        <v>7648876604</v>
      </c>
      <c r="D3220" s="2">
        <v>1</v>
      </c>
      <c r="E3220" t="str">
        <f>"4574674200801389"</f>
        <v>4574674200801389</v>
      </c>
      <c r="F3220" t="str">
        <f>"835"</f>
        <v>835</v>
      </c>
      <c r="G3220">
        <v>1</v>
      </c>
      <c r="H3220">
        <v>2023</v>
      </c>
      <c r="I3220" t="s">
        <v>3335</v>
      </c>
    </row>
    <row r="3221" spans="1:9" x14ac:dyDescent="0.3">
      <c r="A3221" t="s">
        <v>10157</v>
      </c>
      <c r="B3221" t="s">
        <v>49</v>
      </c>
      <c r="C3221">
        <v>7648876604</v>
      </c>
      <c r="D3221" s="2">
        <v>1</v>
      </c>
      <c r="E3221" t="str">
        <f>"4574674200801405"</f>
        <v>4574674200801405</v>
      </c>
      <c r="F3221" t="str">
        <f>"701"</f>
        <v>701</v>
      </c>
      <c r="G3221">
        <v>1</v>
      </c>
      <c r="H3221">
        <v>2023</v>
      </c>
      <c r="I3221" t="s">
        <v>3336</v>
      </c>
    </row>
    <row r="3222" spans="1:9" x14ac:dyDescent="0.3">
      <c r="A3222" t="s">
        <v>10157</v>
      </c>
      <c r="B3222" t="s">
        <v>49</v>
      </c>
      <c r="C3222">
        <v>7648876604</v>
      </c>
      <c r="D3222" s="2">
        <v>1</v>
      </c>
      <c r="E3222" t="str">
        <f>"4574674200801488"</f>
        <v>4574674200801488</v>
      </c>
      <c r="F3222" t="str">
        <f>"291"</f>
        <v>291</v>
      </c>
      <c r="G3222">
        <v>1</v>
      </c>
      <c r="H3222">
        <v>2023</v>
      </c>
      <c r="I3222" t="s">
        <v>3337</v>
      </c>
    </row>
    <row r="3223" spans="1:9" x14ac:dyDescent="0.3">
      <c r="A3223" t="s">
        <v>10157</v>
      </c>
      <c r="B3223" t="s">
        <v>49</v>
      </c>
      <c r="C3223">
        <v>7648876604</v>
      </c>
      <c r="D3223" s="2">
        <v>1</v>
      </c>
      <c r="E3223" t="str">
        <f>"4574674200801496"</f>
        <v>4574674200801496</v>
      </c>
      <c r="F3223" t="str">
        <f>"273"</f>
        <v>273</v>
      </c>
      <c r="G3223">
        <v>1</v>
      </c>
      <c r="H3223">
        <v>2023</v>
      </c>
      <c r="I3223" t="s">
        <v>3338</v>
      </c>
    </row>
    <row r="3224" spans="1:9" x14ac:dyDescent="0.3">
      <c r="A3224" t="s">
        <v>10157</v>
      </c>
      <c r="B3224" t="s">
        <v>49</v>
      </c>
      <c r="C3224">
        <v>7648876604</v>
      </c>
      <c r="D3224" s="2">
        <v>1</v>
      </c>
      <c r="E3224" t="str">
        <f>"4574674200801512"</f>
        <v>4574674200801512</v>
      </c>
      <c r="F3224" t="str">
        <f>"573"</f>
        <v>573</v>
      </c>
      <c r="G3224">
        <v>1</v>
      </c>
      <c r="H3224">
        <v>2023</v>
      </c>
      <c r="I3224" t="s">
        <v>3339</v>
      </c>
    </row>
    <row r="3225" spans="1:9" x14ac:dyDescent="0.3">
      <c r="A3225" t="s">
        <v>10157</v>
      </c>
      <c r="B3225" t="s">
        <v>49</v>
      </c>
      <c r="C3225">
        <v>7648876604</v>
      </c>
      <c r="D3225" s="2">
        <v>1</v>
      </c>
      <c r="E3225" t="str">
        <f>"4574674200801520"</f>
        <v>4574674200801520</v>
      </c>
      <c r="F3225" t="str">
        <f>"640"</f>
        <v>640</v>
      </c>
      <c r="G3225">
        <v>1</v>
      </c>
      <c r="H3225">
        <v>2023</v>
      </c>
      <c r="I3225" t="s">
        <v>3340</v>
      </c>
    </row>
    <row r="3226" spans="1:9" x14ac:dyDescent="0.3">
      <c r="A3226" t="s">
        <v>10157</v>
      </c>
      <c r="B3226" t="s">
        <v>49</v>
      </c>
      <c r="C3226">
        <v>7648876604</v>
      </c>
      <c r="D3226" s="2">
        <v>1</v>
      </c>
      <c r="E3226" t="str">
        <f>"4574674200801595"</f>
        <v>4574674200801595</v>
      </c>
      <c r="F3226" t="str">
        <f>"886"</f>
        <v>886</v>
      </c>
      <c r="G3226">
        <v>1</v>
      </c>
      <c r="H3226">
        <v>2023</v>
      </c>
      <c r="I3226" t="s">
        <v>3341</v>
      </c>
    </row>
    <row r="3227" spans="1:9" x14ac:dyDescent="0.3">
      <c r="A3227" t="s">
        <v>10157</v>
      </c>
      <c r="B3227" t="s">
        <v>49</v>
      </c>
      <c r="C3227">
        <v>7648876604</v>
      </c>
      <c r="D3227" s="2">
        <v>1</v>
      </c>
      <c r="E3227" t="str">
        <f>"4574674200801579"</f>
        <v>4574674200801579</v>
      </c>
      <c r="F3227" t="str">
        <f>"050"</f>
        <v>050</v>
      </c>
      <c r="G3227">
        <v>1</v>
      </c>
      <c r="H3227">
        <v>2023</v>
      </c>
      <c r="I3227" t="s">
        <v>3342</v>
      </c>
    </row>
    <row r="3228" spans="1:9" x14ac:dyDescent="0.3">
      <c r="A3228" t="s">
        <v>10157</v>
      </c>
      <c r="B3228" t="s">
        <v>49</v>
      </c>
      <c r="C3228">
        <v>7648876604</v>
      </c>
      <c r="D3228" s="2">
        <v>1</v>
      </c>
      <c r="E3228" t="str">
        <f>"4574674200801843"</f>
        <v>4574674200801843</v>
      </c>
      <c r="F3228" t="str">
        <f>"938"</f>
        <v>938</v>
      </c>
      <c r="G3228">
        <v>1</v>
      </c>
      <c r="H3228">
        <v>2023</v>
      </c>
      <c r="I3228" t="s">
        <v>3343</v>
      </c>
    </row>
    <row r="3229" spans="1:9" x14ac:dyDescent="0.3">
      <c r="A3229" t="s">
        <v>10157</v>
      </c>
      <c r="B3229" t="s">
        <v>49</v>
      </c>
      <c r="C3229">
        <v>7648876604</v>
      </c>
      <c r="D3229" s="2">
        <v>1</v>
      </c>
      <c r="E3229" t="str">
        <f>"4574674200801694"</f>
        <v>4574674200801694</v>
      </c>
      <c r="F3229" t="str">
        <f>"782"</f>
        <v>782</v>
      </c>
      <c r="G3229">
        <v>1</v>
      </c>
      <c r="H3229">
        <v>2023</v>
      </c>
      <c r="I3229" t="s">
        <v>3344</v>
      </c>
    </row>
    <row r="3230" spans="1:9" x14ac:dyDescent="0.3">
      <c r="A3230" t="s">
        <v>10158</v>
      </c>
      <c r="B3230" t="s">
        <v>50</v>
      </c>
      <c r="C3230">
        <v>7648876604</v>
      </c>
      <c r="D3230" s="2">
        <v>1</v>
      </c>
      <c r="E3230" t="str">
        <f>"4574674200801850"</f>
        <v>4574674200801850</v>
      </c>
      <c r="F3230" t="str">
        <f>"335"</f>
        <v>335</v>
      </c>
      <c r="G3230">
        <v>1</v>
      </c>
      <c r="H3230">
        <v>2023</v>
      </c>
      <c r="I3230" t="s">
        <v>3345</v>
      </c>
    </row>
    <row r="3231" spans="1:9" x14ac:dyDescent="0.3">
      <c r="A3231" t="s">
        <v>10158</v>
      </c>
      <c r="B3231" t="s">
        <v>50</v>
      </c>
      <c r="C3231">
        <v>7648876604</v>
      </c>
      <c r="D3231" s="2">
        <v>1</v>
      </c>
      <c r="E3231" t="str">
        <f>"4574674200801876"</f>
        <v>4574674200801876</v>
      </c>
      <c r="F3231" t="str">
        <f>"708"</f>
        <v>708</v>
      </c>
      <c r="G3231">
        <v>1</v>
      </c>
      <c r="H3231">
        <v>2023</v>
      </c>
      <c r="I3231" t="s">
        <v>3346</v>
      </c>
    </row>
    <row r="3232" spans="1:9" x14ac:dyDescent="0.3">
      <c r="A3232" t="s">
        <v>10158</v>
      </c>
      <c r="B3232" t="s">
        <v>50</v>
      </c>
      <c r="C3232">
        <v>7648876604</v>
      </c>
      <c r="D3232" s="2">
        <v>1</v>
      </c>
      <c r="E3232" t="str">
        <f>"4574674200801868"</f>
        <v>4574674200801868</v>
      </c>
      <c r="F3232" t="str">
        <f>"911"</f>
        <v>911</v>
      </c>
      <c r="G3232">
        <v>1</v>
      </c>
      <c r="H3232">
        <v>2023</v>
      </c>
      <c r="I3232" t="s">
        <v>3347</v>
      </c>
    </row>
    <row r="3233" spans="1:9" x14ac:dyDescent="0.3">
      <c r="A3233" t="s">
        <v>10158</v>
      </c>
      <c r="B3233" t="s">
        <v>50</v>
      </c>
      <c r="C3233">
        <v>7648876604</v>
      </c>
      <c r="D3233" s="2">
        <v>1</v>
      </c>
      <c r="E3233" t="str">
        <f>"4574674200801934"</f>
        <v>4574674200801934</v>
      </c>
      <c r="F3233" t="str">
        <f>"824"</f>
        <v>824</v>
      </c>
      <c r="G3233">
        <v>1</v>
      </c>
      <c r="H3233">
        <v>2023</v>
      </c>
      <c r="I3233" t="s">
        <v>3348</v>
      </c>
    </row>
    <row r="3234" spans="1:9" x14ac:dyDescent="0.3">
      <c r="A3234" t="s">
        <v>10158</v>
      </c>
      <c r="B3234" t="s">
        <v>50</v>
      </c>
      <c r="C3234">
        <v>7648876604</v>
      </c>
      <c r="D3234" s="2">
        <v>1</v>
      </c>
      <c r="E3234" t="str">
        <f>"4574674200801942"</f>
        <v>4574674200801942</v>
      </c>
      <c r="F3234" t="str">
        <f>"116"</f>
        <v>116</v>
      </c>
      <c r="G3234">
        <v>1</v>
      </c>
      <c r="H3234">
        <v>2023</v>
      </c>
      <c r="I3234" t="s">
        <v>3349</v>
      </c>
    </row>
    <row r="3235" spans="1:9" x14ac:dyDescent="0.3">
      <c r="A3235" t="s">
        <v>10158</v>
      </c>
      <c r="B3235" t="s">
        <v>50</v>
      </c>
      <c r="C3235">
        <v>7648876604</v>
      </c>
      <c r="D3235" s="2">
        <v>1</v>
      </c>
      <c r="E3235" t="str">
        <f>"4574674200802007"</f>
        <v>4574674200802007</v>
      </c>
      <c r="F3235" t="str">
        <f>"517"</f>
        <v>517</v>
      </c>
      <c r="G3235">
        <v>1</v>
      </c>
      <c r="H3235">
        <v>2023</v>
      </c>
      <c r="I3235" t="s">
        <v>3350</v>
      </c>
    </row>
    <row r="3236" spans="1:9" x14ac:dyDescent="0.3">
      <c r="A3236" t="s">
        <v>10158</v>
      </c>
      <c r="B3236" t="s">
        <v>50</v>
      </c>
      <c r="C3236">
        <v>7648876604</v>
      </c>
      <c r="D3236" s="2">
        <v>1</v>
      </c>
      <c r="E3236" t="str">
        <f>"4574674200802213"</f>
        <v>4574674200802213</v>
      </c>
      <c r="F3236" t="str">
        <f>"884"</f>
        <v>884</v>
      </c>
      <c r="G3236">
        <v>1</v>
      </c>
      <c r="H3236">
        <v>2023</v>
      </c>
      <c r="I3236" t="s">
        <v>3351</v>
      </c>
    </row>
    <row r="3237" spans="1:9" x14ac:dyDescent="0.3">
      <c r="A3237" t="s">
        <v>10158</v>
      </c>
      <c r="B3237" t="s">
        <v>50</v>
      </c>
      <c r="C3237">
        <v>7648876604</v>
      </c>
      <c r="D3237" s="2">
        <v>1</v>
      </c>
      <c r="E3237" t="str">
        <f>"4574674200802023"</f>
        <v>4574674200802023</v>
      </c>
      <c r="F3237" t="str">
        <f>"089"</f>
        <v>089</v>
      </c>
      <c r="G3237">
        <v>1</v>
      </c>
      <c r="H3237">
        <v>2023</v>
      </c>
      <c r="I3237" t="s">
        <v>3352</v>
      </c>
    </row>
    <row r="3238" spans="1:9" x14ac:dyDescent="0.3">
      <c r="A3238" t="s">
        <v>10158</v>
      </c>
      <c r="B3238" t="s">
        <v>50</v>
      </c>
      <c r="C3238">
        <v>7648876604</v>
      </c>
      <c r="D3238" s="2">
        <v>1</v>
      </c>
      <c r="E3238" t="str">
        <f>"4574674200802015"</f>
        <v>4574674200802015</v>
      </c>
      <c r="F3238" t="str">
        <f>"938"</f>
        <v>938</v>
      </c>
      <c r="G3238">
        <v>1</v>
      </c>
      <c r="H3238">
        <v>2023</v>
      </c>
      <c r="I3238" t="s">
        <v>3353</v>
      </c>
    </row>
    <row r="3239" spans="1:9" x14ac:dyDescent="0.3">
      <c r="A3239" t="s">
        <v>10158</v>
      </c>
      <c r="B3239" t="s">
        <v>50</v>
      </c>
      <c r="C3239">
        <v>7648876604</v>
      </c>
      <c r="D3239" s="2">
        <v>1</v>
      </c>
      <c r="E3239" t="str">
        <f>"4574674200802072"</f>
        <v>4574674200802072</v>
      </c>
      <c r="F3239" t="str">
        <f>"716"</f>
        <v>716</v>
      </c>
      <c r="G3239">
        <v>1</v>
      </c>
      <c r="H3239">
        <v>2023</v>
      </c>
      <c r="I3239" t="s">
        <v>3354</v>
      </c>
    </row>
    <row r="3240" spans="1:9" x14ac:dyDescent="0.3">
      <c r="A3240" t="s">
        <v>10159</v>
      </c>
      <c r="B3240" t="s">
        <v>51</v>
      </c>
      <c r="C3240">
        <v>7648876604</v>
      </c>
      <c r="D3240" s="2">
        <v>1</v>
      </c>
      <c r="E3240" t="str">
        <f>"4574674200802031"</f>
        <v>4574674200802031</v>
      </c>
      <c r="F3240" t="str">
        <f>"515"</f>
        <v>515</v>
      </c>
      <c r="G3240">
        <v>1</v>
      </c>
      <c r="H3240">
        <v>2023</v>
      </c>
      <c r="I3240" t="s">
        <v>3355</v>
      </c>
    </row>
    <row r="3241" spans="1:9" x14ac:dyDescent="0.3">
      <c r="A3241" t="s">
        <v>10159</v>
      </c>
      <c r="B3241" t="s">
        <v>51</v>
      </c>
      <c r="C3241">
        <v>7648876604</v>
      </c>
      <c r="D3241" s="2">
        <v>1</v>
      </c>
      <c r="E3241" t="str">
        <f>"4574674200802106"</f>
        <v>4574674200802106</v>
      </c>
      <c r="F3241" t="str">
        <f>"794"</f>
        <v>794</v>
      </c>
      <c r="G3241">
        <v>1</v>
      </c>
      <c r="H3241">
        <v>2023</v>
      </c>
      <c r="I3241" t="s">
        <v>3356</v>
      </c>
    </row>
    <row r="3242" spans="1:9" x14ac:dyDescent="0.3">
      <c r="A3242" t="s">
        <v>10159</v>
      </c>
      <c r="B3242" t="s">
        <v>51</v>
      </c>
      <c r="C3242">
        <v>7648876604</v>
      </c>
      <c r="D3242" s="2">
        <v>1</v>
      </c>
      <c r="E3242" t="str">
        <f>"4574674200802155"</f>
        <v>4574674200802155</v>
      </c>
      <c r="F3242" t="str">
        <f>"372"</f>
        <v>372</v>
      </c>
      <c r="G3242">
        <v>1</v>
      </c>
      <c r="H3242">
        <v>2023</v>
      </c>
      <c r="I3242" t="s">
        <v>3357</v>
      </c>
    </row>
    <row r="3243" spans="1:9" x14ac:dyDescent="0.3">
      <c r="A3243" t="s">
        <v>10159</v>
      </c>
      <c r="B3243" t="s">
        <v>51</v>
      </c>
      <c r="C3243">
        <v>7648876604</v>
      </c>
      <c r="D3243" s="2">
        <v>1</v>
      </c>
      <c r="E3243" t="str">
        <f>"4574674200802163"</f>
        <v>4574674200802163</v>
      </c>
      <c r="F3243" t="str">
        <f>"516"</f>
        <v>516</v>
      </c>
      <c r="G3243">
        <v>1</v>
      </c>
      <c r="H3243">
        <v>2023</v>
      </c>
      <c r="I3243" t="s">
        <v>3358</v>
      </c>
    </row>
    <row r="3244" spans="1:9" x14ac:dyDescent="0.3">
      <c r="A3244" t="s">
        <v>10159</v>
      </c>
      <c r="B3244" t="s">
        <v>51</v>
      </c>
      <c r="C3244">
        <v>7648876604</v>
      </c>
      <c r="D3244" s="2">
        <v>1</v>
      </c>
      <c r="E3244" t="str">
        <f>"4574674200802189"</f>
        <v>4574674200802189</v>
      </c>
      <c r="F3244" t="str">
        <f>"849"</f>
        <v>849</v>
      </c>
      <c r="G3244">
        <v>1</v>
      </c>
      <c r="H3244">
        <v>2023</v>
      </c>
      <c r="I3244" t="s">
        <v>3359</v>
      </c>
    </row>
    <row r="3245" spans="1:9" x14ac:dyDescent="0.3">
      <c r="A3245" t="s">
        <v>10159</v>
      </c>
      <c r="B3245" t="s">
        <v>51</v>
      </c>
      <c r="C3245">
        <v>7648876604</v>
      </c>
      <c r="D3245" s="2">
        <v>1</v>
      </c>
      <c r="E3245" t="str">
        <f>"4574674200802403"</f>
        <v>4574674200802403</v>
      </c>
      <c r="F3245" t="str">
        <f>"157"</f>
        <v>157</v>
      </c>
      <c r="G3245">
        <v>1</v>
      </c>
      <c r="H3245">
        <v>2023</v>
      </c>
      <c r="I3245" t="s">
        <v>3360</v>
      </c>
    </row>
    <row r="3246" spans="1:9" x14ac:dyDescent="0.3">
      <c r="A3246" t="s">
        <v>10159</v>
      </c>
      <c r="B3246" t="s">
        <v>51</v>
      </c>
      <c r="C3246">
        <v>7648876604</v>
      </c>
      <c r="D3246" s="2">
        <v>1</v>
      </c>
      <c r="E3246" t="str">
        <f>"4574674200802437"</f>
        <v>4574674200802437</v>
      </c>
      <c r="F3246" t="str">
        <f>"490"</f>
        <v>490</v>
      </c>
      <c r="G3246">
        <v>1</v>
      </c>
      <c r="H3246">
        <v>2023</v>
      </c>
      <c r="I3246" t="s">
        <v>3361</v>
      </c>
    </row>
    <row r="3247" spans="1:9" x14ac:dyDescent="0.3">
      <c r="A3247" t="s">
        <v>10159</v>
      </c>
      <c r="B3247" t="s">
        <v>51</v>
      </c>
      <c r="C3247">
        <v>7648876604</v>
      </c>
      <c r="D3247" s="2">
        <v>1</v>
      </c>
      <c r="E3247" t="str">
        <f>"4574674200802338"</f>
        <v>4574674200802338</v>
      </c>
      <c r="F3247" t="str">
        <f>"814"</f>
        <v>814</v>
      </c>
      <c r="G3247">
        <v>1</v>
      </c>
      <c r="H3247">
        <v>2023</v>
      </c>
      <c r="I3247" t="s">
        <v>3362</v>
      </c>
    </row>
    <row r="3248" spans="1:9" x14ac:dyDescent="0.3">
      <c r="A3248" t="s">
        <v>10159</v>
      </c>
      <c r="B3248" t="s">
        <v>51</v>
      </c>
      <c r="C3248">
        <v>7648876604</v>
      </c>
      <c r="D3248" s="2">
        <v>1</v>
      </c>
      <c r="E3248" t="str">
        <f>"4574674200802478"</f>
        <v>4574674200802478</v>
      </c>
      <c r="F3248" t="str">
        <f>"061"</f>
        <v>061</v>
      </c>
      <c r="G3248">
        <v>1</v>
      </c>
      <c r="H3248">
        <v>2023</v>
      </c>
      <c r="I3248" t="s">
        <v>3363</v>
      </c>
    </row>
    <row r="3249" spans="1:9" x14ac:dyDescent="0.3">
      <c r="A3249" t="s">
        <v>10159</v>
      </c>
      <c r="B3249" t="s">
        <v>51</v>
      </c>
      <c r="C3249">
        <v>7648876604</v>
      </c>
      <c r="D3249" s="2">
        <v>1</v>
      </c>
      <c r="E3249" t="str">
        <f>"4574674200802510"</f>
        <v>4574674200802510</v>
      </c>
      <c r="F3249" t="str">
        <f>"811"</f>
        <v>811</v>
      </c>
      <c r="G3249">
        <v>1</v>
      </c>
      <c r="H3249">
        <v>2023</v>
      </c>
      <c r="I3249" t="s">
        <v>3364</v>
      </c>
    </row>
    <row r="3250" spans="1:9" x14ac:dyDescent="0.3">
      <c r="A3250" t="s">
        <v>10130</v>
      </c>
      <c r="B3250" t="s">
        <v>22</v>
      </c>
      <c r="C3250">
        <v>7648876604</v>
      </c>
      <c r="D3250" s="2">
        <v>1</v>
      </c>
      <c r="E3250" t="str">
        <f>"4574674200802585"</f>
        <v>4574674200802585</v>
      </c>
      <c r="F3250" t="str">
        <f>"718"</f>
        <v>718</v>
      </c>
      <c r="G3250">
        <v>1</v>
      </c>
      <c r="H3250">
        <v>2023</v>
      </c>
      <c r="I3250" t="s">
        <v>3365</v>
      </c>
    </row>
    <row r="3251" spans="1:9" x14ac:dyDescent="0.3">
      <c r="A3251" t="s">
        <v>10130</v>
      </c>
      <c r="B3251" t="s">
        <v>22</v>
      </c>
      <c r="C3251">
        <v>7648876604</v>
      </c>
      <c r="D3251" s="2">
        <v>1</v>
      </c>
      <c r="E3251" t="str">
        <f>"4574674200802551"</f>
        <v>4574674200802551</v>
      </c>
      <c r="F3251" t="str">
        <f>"745"</f>
        <v>745</v>
      </c>
      <c r="G3251">
        <v>1</v>
      </c>
      <c r="H3251">
        <v>2023</v>
      </c>
      <c r="I3251" t="s">
        <v>3366</v>
      </c>
    </row>
    <row r="3252" spans="1:9" x14ac:dyDescent="0.3">
      <c r="A3252" t="s">
        <v>10130</v>
      </c>
      <c r="B3252" t="s">
        <v>22</v>
      </c>
      <c r="C3252">
        <v>7648876604</v>
      </c>
      <c r="D3252" s="2">
        <v>1</v>
      </c>
      <c r="E3252" t="str">
        <f>"4574674200802577"</f>
        <v>4574674200802577</v>
      </c>
      <c r="F3252" t="str">
        <f>"868"</f>
        <v>868</v>
      </c>
      <c r="G3252">
        <v>1</v>
      </c>
      <c r="H3252">
        <v>2023</v>
      </c>
      <c r="I3252" t="s">
        <v>3367</v>
      </c>
    </row>
    <row r="3253" spans="1:9" x14ac:dyDescent="0.3">
      <c r="A3253" t="s">
        <v>10130</v>
      </c>
      <c r="B3253" t="s">
        <v>22</v>
      </c>
      <c r="C3253">
        <v>7648876604</v>
      </c>
      <c r="D3253" s="2">
        <v>1</v>
      </c>
      <c r="E3253" t="str">
        <f>"4574674200802593"</f>
        <v>4574674200802593</v>
      </c>
      <c r="F3253" t="str">
        <f>"131"</f>
        <v>131</v>
      </c>
      <c r="G3253">
        <v>1</v>
      </c>
      <c r="H3253">
        <v>2023</v>
      </c>
      <c r="I3253" t="s">
        <v>3368</v>
      </c>
    </row>
    <row r="3254" spans="1:9" x14ac:dyDescent="0.3">
      <c r="A3254" t="s">
        <v>10130</v>
      </c>
      <c r="B3254" t="s">
        <v>22</v>
      </c>
      <c r="C3254">
        <v>7648876604</v>
      </c>
      <c r="D3254" s="2">
        <v>1</v>
      </c>
      <c r="E3254" t="str">
        <f>"4574674200802833"</f>
        <v>4574674200802833</v>
      </c>
      <c r="F3254" t="str">
        <f>"853"</f>
        <v>853</v>
      </c>
      <c r="G3254">
        <v>1</v>
      </c>
      <c r="H3254">
        <v>2023</v>
      </c>
      <c r="I3254" t="s">
        <v>3369</v>
      </c>
    </row>
    <row r="3255" spans="1:9" x14ac:dyDescent="0.3">
      <c r="A3255" t="s">
        <v>10130</v>
      </c>
      <c r="B3255" t="s">
        <v>22</v>
      </c>
      <c r="C3255">
        <v>7648876604</v>
      </c>
      <c r="D3255" s="2">
        <v>1</v>
      </c>
      <c r="E3255" t="str">
        <f>"4574674200802858"</f>
        <v>4574674200802858</v>
      </c>
      <c r="F3255" t="str">
        <f>"410"</f>
        <v>410</v>
      </c>
      <c r="G3255">
        <v>1</v>
      </c>
      <c r="H3255">
        <v>2023</v>
      </c>
      <c r="I3255" t="s">
        <v>3370</v>
      </c>
    </row>
    <row r="3256" spans="1:9" x14ac:dyDescent="0.3">
      <c r="A3256" t="s">
        <v>10130</v>
      </c>
      <c r="B3256" t="s">
        <v>22</v>
      </c>
      <c r="C3256">
        <v>7648876604</v>
      </c>
      <c r="D3256" s="2">
        <v>1</v>
      </c>
      <c r="E3256" t="str">
        <f>"4574674200802882"</f>
        <v>4574674200802882</v>
      </c>
      <c r="F3256" t="str">
        <f>"486"</f>
        <v>486</v>
      </c>
      <c r="G3256">
        <v>1</v>
      </c>
      <c r="H3256">
        <v>2023</v>
      </c>
      <c r="I3256" t="s">
        <v>3371</v>
      </c>
    </row>
    <row r="3257" spans="1:9" x14ac:dyDescent="0.3">
      <c r="A3257" t="s">
        <v>10130</v>
      </c>
      <c r="B3257" t="s">
        <v>22</v>
      </c>
      <c r="C3257">
        <v>7648876604</v>
      </c>
      <c r="D3257" s="2">
        <v>1</v>
      </c>
      <c r="E3257" t="str">
        <f>"4574674200802650"</f>
        <v>4574674200802650</v>
      </c>
      <c r="F3257" t="str">
        <f>"090"</f>
        <v>090</v>
      </c>
      <c r="G3257">
        <v>1</v>
      </c>
      <c r="H3257">
        <v>2023</v>
      </c>
      <c r="I3257" t="s">
        <v>3372</v>
      </c>
    </row>
    <row r="3258" spans="1:9" x14ac:dyDescent="0.3">
      <c r="A3258" t="s">
        <v>10130</v>
      </c>
      <c r="B3258" t="s">
        <v>22</v>
      </c>
      <c r="C3258">
        <v>7648876604</v>
      </c>
      <c r="D3258" s="2">
        <v>1</v>
      </c>
      <c r="E3258" t="str">
        <f>"4574674200802924"</f>
        <v>4574674200802924</v>
      </c>
      <c r="F3258" t="str">
        <f>"036"</f>
        <v>036</v>
      </c>
      <c r="G3258">
        <v>1</v>
      </c>
      <c r="H3258">
        <v>2023</v>
      </c>
      <c r="I3258" t="s">
        <v>3373</v>
      </c>
    </row>
    <row r="3259" spans="1:9" x14ac:dyDescent="0.3">
      <c r="A3259" t="s">
        <v>10130</v>
      </c>
      <c r="B3259" t="s">
        <v>22</v>
      </c>
      <c r="C3259">
        <v>7648876604</v>
      </c>
      <c r="D3259" s="2">
        <v>1</v>
      </c>
      <c r="E3259" t="str">
        <f>"4574674200802940"</f>
        <v>4574674200802940</v>
      </c>
      <c r="F3259" t="str">
        <f>"715"</f>
        <v>715</v>
      </c>
      <c r="G3259">
        <v>1</v>
      </c>
      <c r="H3259">
        <v>2023</v>
      </c>
      <c r="I3259" t="s">
        <v>3374</v>
      </c>
    </row>
    <row r="3260" spans="1:9" x14ac:dyDescent="0.3">
      <c r="A3260" t="s">
        <v>10132</v>
      </c>
      <c r="B3260" t="s">
        <v>24</v>
      </c>
      <c r="C3260">
        <v>7648876604</v>
      </c>
      <c r="D3260" s="2">
        <v>1</v>
      </c>
      <c r="E3260" t="str">
        <f>"4574674200802957"</f>
        <v>4574674200802957</v>
      </c>
      <c r="F3260" t="str">
        <f>"508"</f>
        <v>508</v>
      </c>
      <c r="G3260">
        <v>1</v>
      </c>
      <c r="H3260">
        <v>2023</v>
      </c>
      <c r="I3260" t="s">
        <v>3375</v>
      </c>
    </row>
    <row r="3261" spans="1:9" x14ac:dyDescent="0.3">
      <c r="A3261" t="s">
        <v>10132</v>
      </c>
      <c r="B3261" t="s">
        <v>24</v>
      </c>
      <c r="C3261">
        <v>7648876604</v>
      </c>
      <c r="D3261" s="2">
        <v>1</v>
      </c>
      <c r="E3261" t="str">
        <f>"4574674200803062"</f>
        <v>4574674200803062</v>
      </c>
      <c r="F3261" t="str">
        <f>"440"</f>
        <v>440</v>
      </c>
      <c r="G3261">
        <v>1</v>
      </c>
      <c r="H3261">
        <v>2023</v>
      </c>
      <c r="I3261" t="s">
        <v>3376</v>
      </c>
    </row>
    <row r="3262" spans="1:9" x14ac:dyDescent="0.3">
      <c r="A3262" t="s">
        <v>10132</v>
      </c>
      <c r="B3262" t="s">
        <v>24</v>
      </c>
      <c r="C3262">
        <v>7648876604</v>
      </c>
      <c r="D3262" s="2">
        <v>1</v>
      </c>
      <c r="E3262" t="str">
        <f>"4574674200803047"</f>
        <v>4574674200803047</v>
      </c>
      <c r="F3262" t="str">
        <f>"581"</f>
        <v>581</v>
      </c>
      <c r="G3262">
        <v>1</v>
      </c>
      <c r="H3262">
        <v>2023</v>
      </c>
      <c r="I3262" t="s">
        <v>3377</v>
      </c>
    </row>
    <row r="3263" spans="1:9" x14ac:dyDescent="0.3">
      <c r="A3263" t="s">
        <v>10132</v>
      </c>
      <c r="B3263" t="s">
        <v>24</v>
      </c>
      <c r="C3263">
        <v>7648876604</v>
      </c>
      <c r="D3263" s="2">
        <v>1</v>
      </c>
      <c r="E3263" t="str">
        <f>"4574674200803039"</f>
        <v>4574674200803039</v>
      </c>
      <c r="F3263" t="str">
        <f>"444"</f>
        <v>444</v>
      </c>
      <c r="G3263">
        <v>1</v>
      </c>
      <c r="H3263">
        <v>2023</v>
      </c>
      <c r="I3263" t="s">
        <v>3378</v>
      </c>
    </row>
    <row r="3264" spans="1:9" x14ac:dyDescent="0.3">
      <c r="A3264" t="s">
        <v>10132</v>
      </c>
      <c r="B3264" t="s">
        <v>24</v>
      </c>
      <c r="C3264">
        <v>7648876604</v>
      </c>
      <c r="D3264" s="2">
        <v>1</v>
      </c>
      <c r="E3264" t="str">
        <f>"4574674200803088"</f>
        <v>4574674200803088</v>
      </c>
      <c r="F3264" t="str">
        <f>"609"</f>
        <v>609</v>
      </c>
      <c r="G3264">
        <v>1</v>
      </c>
      <c r="H3264">
        <v>2023</v>
      </c>
      <c r="I3264" t="s">
        <v>3379</v>
      </c>
    </row>
    <row r="3265" spans="1:9" x14ac:dyDescent="0.3">
      <c r="A3265" t="s">
        <v>10132</v>
      </c>
      <c r="B3265" t="s">
        <v>24</v>
      </c>
      <c r="C3265">
        <v>7648876604</v>
      </c>
      <c r="D3265" s="2">
        <v>1</v>
      </c>
      <c r="E3265" t="str">
        <f>"4574674200803096"</f>
        <v>4574674200803096</v>
      </c>
      <c r="F3265" t="str">
        <f>"593"</f>
        <v>593</v>
      </c>
      <c r="G3265">
        <v>1</v>
      </c>
      <c r="H3265">
        <v>2023</v>
      </c>
      <c r="I3265" t="s">
        <v>3380</v>
      </c>
    </row>
    <row r="3266" spans="1:9" x14ac:dyDescent="0.3">
      <c r="A3266" t="s">
        <v>10132</v>
      </c>
      <c r="B3266" t="s">
        <v>24</v>
      </c>
      <c r="C3266">
        <v>7648876604</v>
      </c>
      <c r="D3266" s="2">
        <v>1</v>
      </c>
      <c r="E3266" t="str">
        <f>"4574674200803112"</f>
        <v>4574674200803112</v>
      </c>
      <c r="F3266" t="str">
        <f>"003"</f>
        <v>003</v>
      </c>
      <c r="G3266">
        <v>1</v>
      </c>
      <c r="H3266">
        <v>2023</v>
      </c>
      <c r="I3266" t="s">
        <v>3381</v>
      </c>
    </row>
    <row r="3267" spans="1:9" x14ac:dyDescent="0.3">
      <c r="A3267" t="s">
        <v>10132</v>
      </c>
      <c r="B3267" t="s">
        <v>24</v>
      </c>
      <c r="C3267">
        <v>7648876604</v>
      </c>
      <c r="D3267" s="2">
        <v>1</v>
      </c>
      <c r="E3267" t="str">
        <f>"4574674200802791"</f>
        <v>4574674200802791</v>
      </c>
      <c r="F3267" t="str">
        <f>"352"</f>
        <v>352</v>
      </c>
      <c r="G3267">
        <v>1</v>
      </c>
      <c r="H3267">
        <v>2023</v>
      </c>
      <c r="I3267" t="s">
        <v>3382</v>
      </c>
    </row>
    <row r="3268" spans="1:9" x14ac:dyDescent="0.3">
      <c r="A3268" t="s">
        <v>10132</v>
      </c>
      <c r="B3268" t="s">
        <v>24</v>
      </c>
      <c r="C3268">
        <v>7648876604</v>
      </c>
      <c r="D3268" s="2">
        <v>1</v>
      </c>
      <c r="E3268" t="str">
        <f>"4574674200803187"</f>
        <v>4574674200803187</v>
      </c>
      <c r="F3268" t="str">
        <f>"444"</f>
        <v>444</v>
      </c>
      <c r="G3268">
        <v>1</v>
      </c>
      <c r="H3268">
        <v>2023</v>
      </c>
      <c r="I3268" t="s">
        <v>3383</v>
      </c>
    </row>
    <row r="3269" spans="1:9" x14ac:dyDescent="0.3">
      <c r="A3269" t="s">
        <v>10132</v>
      </c>
      <c r="B3269" t="s">
        <v>24</v>
      </c>
      <c r="C3269">
        <v>7648876604</v>
      </c>
      <c r="D3269" s="2">
        <v>1</v>
      </c>
      <c r="E3269" t="str">
        <f>"4574674200803401"</f>
        <v>4574674200803401</v>
      </c>
      <c r="F3269" t="str">
        <f>"839"</f>
        <v>839</v>
      </c>
      <c r="G3269">
        <v>1</v>
      </c>
      <c r="H3269">
        <v>2023</v>
      </c>
      <c r="I3269" t="s">
        <v>3384</v>
      </c>
    </row>
    <row r="3270" spans="1:9" x14ac:dyDescent="0.3">
      <c r="A3270" t="s">
        <v>10160</v>
      </c>
      <c r="B3270" t="s">
        <v>52</v>
      </c>
      <c r="C3270">
        <v>7648876604</v>
      </c>
      <c r="D3270" s="2">
        <v>1</v>
      </c>
      <c r="E3270" t="str">
        <f>"4574674200803419"</f>
        <v>4574674200803419</v>
      </c>
      <c r="F3270" t="str">
        <f>"712"</f>
        <v>712</v>
      </c>
      <c r="G3270">
        <v>1</v>
      </c>
      <c r="H3270">
        <v>2023</v>
      </c>
      <c r="I3270" t="s">
        <v>3385</v>
      </c>
    </row>
    <row r="3271" spans="1:9" x14ac:dyDescent="0.3">
      <c r="A3271" t="s">
        <v>10160</v>
      </c>
      <c r="B3271" t="s">
        <v>52</v>
      </c>
      <c r="C3271">
        <v>7648876604</v>
      </c>
      <c r="D3271" s="2">
        <v>1</v>
      </c>
      <c r="E3271" t="str">
        <f>"4574674200803427"</f>
        <v>4574674200803427</v>
      </c>
      <c r="F3271" t="str">
        <f>"612"</f>
        <v>612</v>
      </c>
      <c r="G3271">
        <v>1</v>
      </c>
      <c r="H3271">
        <v>2023</v>
      </c>
      <c r="I3271" t="s">
        <v>3386</v>
      </c>
    </row>
    <row r="3272" spans="1:9" x14ac:dyDescent="0.3">
      <c r="A3272" t="s">
        <v>10160</v>
      </c>
      <c r="B3272" t="s">
        <v>52</v>
      </c>
      <c r="C3272">
        <v>7648876604</v>
      </c>
      <c r="D3272" s="2">
        <v>1</v>
      </c>
      <c r="E3272" t="str">
        <f>"4574674200803476"</f>
        <v>4574674200803476</v>
      </c>
      <c r="F3272" t="str">
        <f>"569"</f>
        <v>569</v>
      </c>
      <c r="G3272">
        <v>1</v>
      </c>
      <c r="H3272">
        <v>2023</v>
      </c>
      <c r="I3272" t="s">
        <v>3387</v>
      </c>
    </row>
    <row r="3273" spans="1:9" x14ac:dyDescent="0.3">
      <c r="A3273" t="s">
        <v>10160</v>
      </c>
      <c r="B3273" t="s">
        <v>52</v>
      </c>
      <c r="C3273">
        <v>7648876604</v>
      </c>
      <c r="D3273" s="2">
        <v>1</v>
      </c>
      <c r="E3273" t="str">
        <f>"4574674200803468"</f>
        <v>4574674200803468</v>
      </c>
      <c r="F3273" t="str">
        <f>"337"</f>
        <v>337</v>
      </c>
      <c r="G3273">
        <v>1</v>
      </c>
      <c r="H3273">
        <v>2023</v>
      </c>
      <c r="I3273" t="s">
        <v>3388</v>
      </c>
    </row>
    <row r="3274" spans="1:9" x14ac:dyDescent="0.3">
      <c r="A3274" t="s">
        <v>10160</v>
      </c>
      <c r="B3274" t="s">
        <v>52</v>
      </c>
      <c r="C3274">
        <v>7648876604</v>
      </c>
      <c r="D3274" s="2">
        <v>1</v>
      </c>
      <c r="E3274" t="str">
        <f>"4574674200803526"</f>
        <v>4574674200803526</v>
      </c>
      <c r="F3274" t="str">
        <f>"011"</f>
        <v>011</v>
      </c>
      <c r="G3274">
        <v>1</v>
      </c>
      <c r="H3274">
        <v>2023</v>
      </c>
      <c r="I3274" t="s">
        <v>3389</v>
      </c>
    </row>
    <row r="3275" spans="1:9" x14ac:dyDescent="0.3">
      <c r="A3275" t="s">
        <v>10160</v>
      </c>
      <c r="B3275" t="s">
        <v>52</v>
      </c>
      <c r="C3275">
        <v>7648876604</v>
      </c>
      <c r="D3275" s="2">
        <v>1</v>
      </c>
      <c r="E3275" t="str">
        <f>"4574674200803542"</f>
        <v>4574674200803542</v>
      </c>
      <c r="F3275" t="str">
        <f>"534"</f>
        <v>534</v>
      </c>
      <c r="G3275">
        <v>1</v>
      </c>
      <c r="H3275">
        <v>2023</v>
      </c>
      <c r="I3275" t="s">
        <v>3390</v>
      </c>
    </row>
    <row r="3276" spans="1:9" x14ac:dyDescent="0.3">
      <c r="A3276" t="s">
        <v>10160</v>
      </c>
      <c r="B3276" t="s">
        <v>52</v>
      </c>
      <c r="C3276">
        <v>7648876604</v>
      </c>
      <c r="D3276" s="2">
        <v>1</v>
      </c>
      <c r="E3276" t="str">
        <f>"4574674200803294"</f>
        <v>4574674200803294</v>
      </c>
      <c r="F3276" t="str">
        <f>"574"</f>
        <v>574</v>
      </c>
      <c r="G3276">
        <v>1</v>
      </c>
      <c r="H3276">
        <v>2023</v>
      </c>
      <c r="I3276" t="s">
        <v>3391</v>
      </c>
    </row>
    <row r="3277" spans="1:9" x14ac:dyDescent="0.3">
      <c r="A3277" t="s">
        <v>10160</v>
      </c>
      <c r="B3277" t="s">
        <v>52</v>
      </c>
      <c r="C3277">
        <v>7648876604</v>
      </c>
      <c r="D3277" s="2">
        <v>1</v>
      </c>
      <c r="E3277" t="str">
        <f>"4574674200803559"</f>
        <v>4574674200803559</v>
      </c>
      <c r="F3277" t="str">
        <f>"106"</f>
        <v>106</v>
      </c>
      <c r="G3277">
        <v>1</v>
      </c>
      <c r="H3277">
        <v>2023</v>
      </c>
      <c r="I3277" t="s">
        <v>3392</v>
      </c>
    </row>
    <row r="3278" spans="1:9" x14ac:dyDescent="0.3">
      <c r="A3278" t="s">
        <v>10160</v>
      </c>
      <c r="B3278" t="s">
        <v>52</v>
      </c>
      <c r="C3278">
        <v>7648876604</v>
      </c>
      <c r="D3278" s="2">
        <v>1</v>
      </c>
      <c r="E3278" t="str">
        <f>"4574674200803591"</f>
        <v>4574674200803591</v>
      </c>
      <c r="F3278" t="str">
        <f>"512"</f>
        <v>512</v>
      </c>
      <c r="G3278">
        <v>1</v>
      </c>
      <c r="H3278">
        <v>2023</v>
      </c>
      <c r="I3278" t="s">
        <v>3393</v>
      </c>
    </row>
    <row r="3279" spans="1:9" x14ac:dyDescent="0.3">
      <c r="A3279" t="s">
        <v>10160</v>
      </c>
      <c r="B3279" t="s">
        <v>52</v>
      </c>
      <c r="C3279">
        <v>7648876604</v>
      </c>
      <c r="D3279" s="2">
        <v>1</v>
      </c>
      <c r="E3279" t="str">
        <f>"4574674200803617"</f>
        <v>4574674200803617</v>
      </c>
      <c r="F3279" t="str">
        <f>"203"</f>
        <v>203</v>
      </c>
      <c r="G3279">
        <v>1</v>
      </c>
      <c r="H3279">
        <v>2023</v>
      </c>
      <c r="I3279" t="s">
        <v>3394</v>
      </c>
    </row>
    <row r="3280" spans="1:9" x14ac:dyDescent="0.3">
      <c r="A3280" t="s">
        <v>10161</v>
      </c>
      <c r="B3280" t="s">
        <v>53</v>
      </c>
      <c r="C3280">
        <v>7648876604</v>
      </c>
      <c r="D3280" s="2">
        <v>1</v>
      </c>
      <c r="E3280" t="str">
        <f>"4574674200803658"</f>
        <v>4574674200803658</v>
      </c>
      <c r="F3280" t="str">
        <f>"407"</f>
        <v>407</v>
      </c>
      <c r="G3280">
        <v>1</v>
      </c>
      <c r="H3280">
        <v>2023</v>
      </c>
      <c r="I3280" t="s">
        <v>3395</v>
      </c>
    </row>
    <row r="3281" spans="1:9" x14ac:dyDescent="0.3">
      <c r="A3281" t="s">
        <v>10161</v>
      </c>
      <c r="B3281" t="s">
        <v>53</v>
      </c>
      <c r="C3281">
        <v>7648876604</v>
      </c>
      <c r="D3281" s="2">
        <v>1</v>
      </c>
      <c r="E3281" t="str">
        <f>"4574674200803674"</f>
        <v>4574674200803674</v>
      </c>
      <c r="F3281" t="str">
        <f>"076"</f>
        <v>076</v>
      </c>
      <c r="G3281">
        <v>1</v>
      </c>
      <c r="H3281">
        <v>2023</v>
      </c>
      <c r="I3281" t="s">
        <v>3396</v>
      </c>
    </row>
    <row r="3282" spans="1:9" x14ac:dyDescent="0.3">
      <c r="A3282" t="s">
        <v>10161</v>
      </c>
      <c r="B3282" t="s">
        <v>53</v>
      </c>
      <c r="C3282">
        <v>7648876604</v>
      </c>
      <c r="D3282" s="2">
        <v>1</v>
      </c>
      <c r="E3282" t="str">
        <f>"4574674200803708"</f>
        <v>4574674200803708</v>
      </c>
      <c r="F3282" t="str">
        <f>"390"</f>
        <v>390</v>
      </c>
      <c r="G3282">
        <v>1</v>
      </c>
      <c r="H3282">
        <v>2023</v>
      </c>
      <c r="I3282" t="s">
        <v>3397</v>
      </c>
    </row>
    <row r="3283" spans="1:9" x14ac:dyDescent="0.3">
      <c r="A3283" t="s">
        <v>10161</v>
      </c>
      <c r="B3283" t="s">
        <v>53</v>
      </c>
      <c r="C3283">
        <v>7648876604</v>
      </c>
      <c r="D3283" s="2">
        <v>1</v>
      </c>
      <c r="E3283" t="str">
        <f>"4574674200803716"</f>
        <v>4574674200803716</v>
      </c>
      <c r="F3283" t="str">
        <f>"491"</f>
        <v>491</v>
      </c>
      <c r="G3283">
        <v>1</v>
      </c>
      <c r="H3283">
        <v>2023</v>
      </c>
      <c r="I3283" t="s">
        <v>3398</v>
      </c>
    </row>
    <row r="3284" spans="1:9" x14ac:dyDescent="0.3">
      <c r="A3284" t="s">
        <v>10161</v>
      </c>
      <c r="B3284" t="s">
        <v>53</v>
      </c>
      <c r="C3284">
        <v>7648876604</v>
      </c>
      <c r="D3284" s="2">
        <v>1</v>
      </c>
      <c r="E3284" t="str">
        <f>"4574674200803807"</f>
        <v>4574674200803807</v>
      </c>
      <c r="F3284" t="str">
        <f>"322"</f>
        <v>322</v>
      </c>
      <c r="G3284">
        <v>1</v>
      </c>
      <c r="H3284">
        <v>2023</v>
      </c>
      <c r="I3284" t="s">
        <v>3399</v>
      </c>
    </row>
    <row r="3285" spans="1:9" x14ac:dyDescent="0.3">
      <c r="A3285" t="s">
        <v>10161</v>
      </c>
      <c r="B3285" t="s">
        <v>53</v>
      </c>
      <c r="C3285">
        <v>7648876604</v>
      </c>
      <c r="D3285" s="2">
        <v>1</v>
      </c>
      <c r="E3285" t="str">
        <f>"4574674200803740"</f>
        <v>4574674200803740</v>
      </c>
      <c r="F3285" t="str">
        <f>"247"</f>
        <v>247</v>
      </c>
      <c r="G3285">
        <v>1</v>
      </c>
      <c r="H3285">
        <v>2023</v>
      </c>
      <c r="I3285" t="s">
        <v>3400</v>
      </c>
    </row>
    <row r="3286" spans="1:9" x14ac:dyDescent="0.3">
      <c r="A3286" t="s">
        <v>10161</v>
      </c>
      <c r="B3286" t="s">
        <v>53</v>
      </c>
      <c r="C3286">
        <v>7648876604</v>
      </c>
      <c r="D3286" s="2">
        <v>1</v>
      </c>
      <c r="E3286" t="str">
        <f>"4574674200803757"</f>
        <v>4574674200803757</v>
      </c>
      <c r="F3286" t="str">
        <f>"256"</f>
        <v>256</v>
      </c>
      <c r="G3286">
        <v>1</v>
      </c>
      <c r="H3286">
        <v>2023</v>
      </c>
      <c r="I3286" t="s">
        <v>3401</v>
      </c>
    </row>
    <row r="3287" spans="1:9" x14ac:dyDescent="0.3">
      <c r="A3287" t="s">
        <v>10161</v>
      </c>
      <c r="B3287" t="s">
        <v>53</v>
      </c>
      <c r="C3287">
        <v>7648876604</v>
      </c>
      <c r="D3287" s="2">
        <v>1</v>
      </c>
      <c r="E3287" t="str">
        <f>"4574674200803781"</f>
        <v>4574674200803781</v>
      </c>
      <c r="F3287" t="str">
        <f>"388"</f>
        <v>388</v>
      </c>
      <c r="G3287">
        <v>1</v>
      </c>
      <c r="H3287">
        <v>2023</v>
      </c>
      <c r="I3287" t="s">
        <v>3402</v>
      </c>
    </row>
    <row r="3288" spans="1:9" x14ac:dyDescent="0.3">
      <c r="A3288" t="s">
        <v>10161</v>
      </c>
      <c r="B3288" t="s">
        <v>53</v>
      </c>
      <c r="C3288">
        <v>7648876604</v>
      </c>
      <c r="D3288" s="2">
        <v>1</v>
      </c>
      <c r="E3288" t="str">
        <f>"4574674200804052"</f>
        <v>4574674200804052</v>
      </c>
      <c r="F3288" t="str">
        <f>"779"</f>
        <v>779</v>
      </c>
      <c r="G3288">
        <v>1</v>
      </c>
      <c r="H3288">
        <v>2023</v>
      </c>
      <c r="I3288" t="s">
        <v>3403</v>
      </c>
    </row>
    <row r="3289" spans="1:9" x14ac:dyDescent="0.3">
      <c r="A3289" t="s">
        <v>10161</v>
      </c>
      <c r="B3289" t="s">
        <v>53</v>
      </c>
      <c r="C3289">
        <v>7648876604</v>
      </c>
      <c r="D3289" s="2">
        <v>1</v>
      </c>
      <c r="E3289" t="str">
        <f>"4574674200804060"</f>
        <v>4574674200804060</v>
      </c>
      <c r="F3289" t="str">
        <f>"120"</f>
        <v>120</v>
      </c>
      <c r="G3289">
        <v>1</v>
      </c>
      <c r="H3289">
        <v>2023</v>
      </c>
      <c r="I3289" t="s">
        <v>3404</v>
      </c>
    </row>
    <row r="3290" spans="1:9" x14ac:dyDescent="0.3">
      <c r="A3290" t="s">
        <v>10148</v>
      </c>
      <c r="B3290" t="s">
        <v>40</v>
      </c>
      <c r="C3290">
        <v>7648876604</v>
      </c>
      <c r="D3290" s="2">
        <v>1</v>
      </c>
      <c r="E3290" t="str">
        <f>"4574674200804078"</f>
        <v>4574674200804078</v>
      </c>
      <c r="F3290" t="str">
        <f>"120"</f>
        <v>120</v>
      </c>
      <c r="G3290">
        <v>1</v>
      </c>
      <c r="H3290">
        <v>2023</v>
      </c>
      <c r="I3290" t="s">
        <v>3405</v>
      </c>
    </row>
    <row r="3291" spans="1:9" x14ac:dyDescent="0.3">
      <c r="A3291" t="s">
        <v>10148</v>
      </c>
      <c r="B3291" t="s">
        <v>40</v>
      </c>
      <c r="C3291">
        <v>7648876604</v>
      </c>
      <c r="D3291" s="2">
        <v>1</v>
      </c>
      <c r="E3291" t="str">
        <f>"4574674200804102"</f>
        <v>4574674200804102</v>
      </c>
      <c r="F3291" t="str">
        <f>"515"</f>
        <v>515</v>
      </c>
      <c r="G3291">
        <v>1</v>
      </c>
      <c r="H3291">
        <v>2023</v>
      </c>
      <c r="I3291" t="s">
        <v>3406</v>
      </c>
    </row>
    <row r="3292" spans="1:9" x14ac:dyDescent="0.3">
      <c r="A3292" t="s">
        <v>10148</v>
      </c>
      <c r="B3292" t="s">
        <v>40</v>
      </c>
      <c r="C3292">
        <v>7648876604</v>
      </c>
      <c r="D3292" s="2">
        <v>1</v>
      </c>
      <c r="E3292" t="str">
        <f>"4574674200804110"</f>
        <v>4574674200804110</v>
      </c>
      <c r="F3292" t="str">
        <f>"387"</f>
        <v>387</v>
      </c>
      <c r="G3292">
        <v>1</v>
      </c>
      <c r="H3292">
        <v>2023</v>
      </c>
      <c r="I3292" t="s">
        <v>3407</v>
      </c>
    </row>
    <row r="3293" spans="1:9" x14ac:dyDescent="0.3">
      <c r="A3293" t="s">
        <v>10148</v>
      </c>
      <c r="B3293" t="s">
        <v>40</v>
      </c>
      <c r="C3293">
        <v>7648876604</v>
      </c>
      <c r="D3293" s="2">
        <v>1</v>
      </c>
      <c r="E3293" t="str">
        <f>"4574674200804169"</f>
        <v>4574674200804169</v>
      </c>
      <c r="F3293" t="str">
        <f>"301"</f>
        <v>301</v>
      </c>
      <c r="G3293">
        <v>1</v>
      </c>
      <c r="H3293">
        <v>2023</v>
      </c>
      <c r="I3293" t="s">
        <v>3408</v>
      </c>
    </row>
    <row r="3294" spans="1:9" x14ac:dyDescent="0.3">
      <c r="A3294" t="s">
        <v>10148</v>
      </c>
      <c r="B3294" t="s">
        <v>40</v>
      </c>
      <c r="C3294">
        <v>7648876604</v>
      </c>
      <c r="D3294" s="2">
        <v>1</v>
      </c>
      <c r="E3294" t="str">
        <f>"4574674200804151"</f>
        <v>4574674200804151</v>
      </c>
      <c r="F3294" t="str">
        <f>"350"</f>
        <v>350</v>
      </c>
      <c r="G3294">
        <v>1</v>
      </c>
      <c r="H3294">
        <v>2023</v>
      </c>
      <c r="I3294" t="s">
        <v>3409</v>
      </c>
    </row>
    <row r="3295" spans="1:9" x14ac:dyDescent="0.3">
      <c r="A3295" t="s">
        <v>10148</v>
      </c>
      <c r="B3295" t="s">
        <v>40</v>
      </c>
      <c r="C3295">
        <v>7648876604</v>
      </c>
      <c r="D3295" s="2">
        <v>1</v>
      </c>
      <c r="E3295" t="str">
        <f>"4574674200804201"</f>
        <v>4574674200804201</v>
      </c>
      <c r="F3295" t="str">
        <f>"070"</f>
        <v>070</v>
      </c>
      <c r="G3295">
        <v>1</v>
      </c>
      <c r="H3295">
        <v>2023</v>
      </c>
      <c r="I3295" t="s">
        <v>3410</v>
      </c>
    </row>
    <row r="3296" spans="1:9" x14ac:dyDescent="0.3">
      <c r="A3296" t="s">
        <v>10148</v>
      </c>
      <c r="B3296" t="s">
        <v>40</v>
      </c>
      <c r="C3296">
        <v>7648876604</v>
      </c>
      <c r="D3296" s="2">
        <v>1</v>
      </c>
      <c r="E3296" t="str">
        <f>"4574674200803922"</f>
        <v>4574674200803922</v>
      </c>
      <c r="F3296" t="str">
        <f>"086"</f>
        <v>086</v>
      </c>
      <c r="G3296">
        <v>1</v>
      </c>
      <c r="H3296">
        <v>2023</v>
      </c>
      <c r="I3296" t="s">
        <v>3411</v>
      </c>
    </row>
    <row r="3297" spans="1:9" x14ac:dyDescent="0.3">
      <c r="A3297" t="s">
        <v>10148</v>
      </c>
      <c r="B3297" t="s">
        <v>40</v>
      </c>
      <c r="C3297">
        <v>7648876604</v>
      </c>
      <c r="D3297" s="2">
        <v>1</v>
      </c>
      <c r="E3297" t="str">
        <f>"4574674200804235"</f>
        <v>4574674200804235</v>
      </c>
      <c r="F3297" t="str">
        <f>"417"</f>
        <v>417</v>
      </c>
      <c r="G3297">
        <v>1</v>
      </c>
      <c r="H3297">
        <v>2023</v>
      </c>
      <c r="I3297" t="s">
        <v>3412</v>
      </c>
    </row>
    <row r="3298" spans="1:9" x14ac:dyDescent="0.3">
      <c r="A3298" t="s">
        <v>10148</v>
      </c>
      <c r="B3298" t="s">
        <v>40</v>
      </c>
      <c r="C3298">
        <v>7648876604</v>
      </c>
      <c r="D3298" s="2">
        <v>1</v>
      </c>
      <c r="E3298" t="str">
        <f>"4574674200804250"</f>
        <v>4574674200804250</v>
      </c>
      <c r="F3298" t="str">
        <f>"803"</f>
        <v>803</v>
      </c>
      <c r="G3298">
        <v>1</v>
      </c>
      <c r="H3298">
        <v>2023</v>
      </c>
      <c r="I3298" t="s">
        <v>3413</v>
      </c>
    </row>
    <row r="3299" spans="1:9" x14ac:dyDescent="0.3">
      <c r="A3299" t="s">
        <v>10148</v>
      </c>
      <c r="B3299" t="s">
        <v>40</v>
      </c>
      <c r="C3299">
        <v>7648876604</v>
      </c>
      <c r="D3299" s="2">
        <v>1</v>
      </c>
      <c r="E3299" t="str">
        <f>"4574674200804268"</f>
        <v>4574674200804268</v>
      </c>
      <c r="F3299" t="str">
        <f>"330"</f>
        <v>330</v>
      </c>
      <c r="G3299">
        <v>1</v>
      </c>
      <c r="H3299">
        <v>2023</v>
      </c>
      <c r="I3299" t="s">
        <v>3414</v>
      </c>
    </row>
    <row r="3300" spans="1:9" x14ac:dyDescent="0.3">
      <c r="A3300" t="s">
        <v>10149</v>
      </c>
      <c r="B3300" t="s">
        <v>41</v>
      </c>
      <c r="C3300">
        <v>7648876604</v>
      </c>
      <c r="D3300" s="2">
        <v>1</v>
      </c>
      <c r="E3300" t="str">
        <f>"4574674200804300"</f>
        <v>4574674200804300</v>
      </c>
      <c r="F3300" t="str">
        <f>"135"</f>
        <v>135</v>
      </c>
      <c r="G3300">
        <v>1</v>
      </c>
      <c r="H3300">
        <v>2023</v>
      </c>
      <c r="I3300" t="s">
        <v>3415</v>
      </c>
    </row>
    <row r="3301" spans="1:9" x14ac:dyDescent="0.3">
      <c r="A3301" t="s">
        <v>10149</v>
      </c>
      <c r="B3301" t="s">
        <v>41</v>
      </c>
      <c r="C3301">
        <v>7648876604</v>
      </c>
      <c r="D3301" s="2">
        <v>1</v>
      </c>
      <c r="E3301" t="str">
        <f>"4574674200804318"</f>
        <v>4574674200804318</v>
      </c>
      <c r="F3301" t="str">
        <f>"787"</f>
        <v>787</v>
      </c>
      <c r="G3301">
        <v>1</v>
      </c>
      <c r="H3301">
        <v>2023</v>
      </c>
      <c r="I3301" t="s">
        <v>3416</v>
      </c>
    </row>
    <row r="3302" spans="1:9" x14ac:dyDescent="0.3">
      <c r="A3302" t="s">
        <v>10149</v>
      </c>
      <c r="B3302" t="s">
        <v>41</v>
      </c>
      <c r="C3302">
        <v>7648876604</v>
      </c>
      <c r="D3302" s="2">
        <v>1</v>
      </c>
      <c r="E3302" t="str">
        <f>"4574674200804367"</f>
        <v>4574674200804367</v>
      </c>
      <c r="F3302" t="str">
        <f>"111"</f>
        <v>111</v>
      </c>
      <c r="G3302">
        <v>1</v>
      </c>
      <c r="H3302">
        <v>2023</v>
      </c>
      <c r="I3302" t="s">
        <v>3417</v>
      </c>
    </row>
    <row r="3303" spans="1:9" x14ac:dyDescent="0.3">
      <c r="A3303" t="s">
        <v>10149</v>
      </c>
      <c r="B3303" t="s">
        <v>41</v>
      </c>
      <c r="C3303">
        <v>7648876604</v>
      </c>
      <c r="D3303" s="2">
        <v>1</v>
      </c>
      <c r="E3303" t="str">
        <f>"4574674200804615"</f>
        <v>4574674200804615</v>
      </c>
      <c r="F3303" t="str">
        <f>"326"</f>
        <v>326</v>
      </c>
      <c r="G3303">
        <v>1</v>
      </c>
      <c r="H3303">
        <v>2023</v>
      </c>
      <c r="I3303" t="s">
        <v>3418</v>
      </c>
    </row>
    <row r="3304" spans="1:9" x14ac:dyDescent="0.3">
      <c r="A3304" t="s">
        <v>10149</v>
      </c>
      <c r="B3304" t="s">
        <v>41</v>
      </c>
      <c r="C3304">
        <v>7648876604</v>
      </c>
      <c r="D3304" s="2">
        <v>1</v>
      </c>
      <c r="E3304" t="str">
        <f>"4574674200804607"</f>
        <v>4574674200804607</v>
      </c>
      <c r="F3304" t="str">
        <f>"348"</f>
        <v>348</v>
      </c>
      <c r="G3304">
        <v>1</v>
      </c>
      <c r="H3304">
        <v>2023</v>
      </c>
      <c r="I3304" t="s">
        <v>3419</v>
      </c>
    </row>
    <row r="3305" spans="1:9" x14ac:dyDescent="0.3">
      <c r="A3305" t="s">
        <v>10149</v>
      </c>
      <c r="B3305" t="s">
        <v>41</v>
      </c>
      <c r="C3305">
        <v>7648876604</v>
      </c>
      <c r="D3305" s="2">
        <v>1</v>
      </c>
      <c r="E3305" t="str">
        <f>"4574674200804623"</f>
        <v>4574674200804623</v>
      </c>
      <c r="F3305" t="str">
        <f>"420"</f>
        <v>420</v>
      </c>
      <c r="G3305">
        <v>1</v>
      </c>
      <c r="H3305">
        <v>2023</v>
      </c>
      <c r="I3305" t="s">
        <v>3420</v>
      </c>
    </row>
    <row r="3306" spans="1:9" x14ac:dyDescent="0.3">
      <c r="A3306" t="s">
        <v>10149</v>
      </c>
      <c r="B3306" t="s">
        <v>41</v>
      </c>
      <c r="C3306">
        <v>7648876604</v>
      </c>
      <c r="D3306" s="2">
        <v>1</v>
      </c>
      <c r="E3306" t="str">
        <f>"4574674200804433"</f>
        <v>4574674200804433</v>
      </c>
      <c r="F3306" t="str">
        <f>"755"</f>
        <v>755</v>
      </c>
      <c r="G3306">
        <v>1</v>
      </c>
      <c r="H3306">
        <v>2023</v>
      </c>
      <c r="I3306" t="s">
        <v>3421</v>
      </c>
    </row>
    <row r="3307" spans="1:9" x14ac:dyDescent="0.3">
      <c r="A3307" t="s">
        <v>10149</v>
      </c>
      <c r="B3307" t="s">
        <v>41</v>
      </c>
      <c r="C3307">
        <v>7648876604</v>
      </c>
      <c r="D3307" s="2">
        <v>1</v>
      </c>
      <c r="E3307" t="str">
        <f>"4574674200804698"</f>
        <v>4574674200804698</v>
      </c>
      <c r="F3307" t="str">
        <f>"559"</f>
        <v>559</v>
      </c>
      <c r="G3307">
        <v>1</v>
      </c>
      <c r="H3307">
        <v>2023</v>
      </c>
      <c r="I3307" t="s">
        <v>3422</v>
      </c>
    </row>
    <row r="3308" spans="1:9" x14ac:dyDescent="0.3">
      <c r="A3308" t="s">
        <v>10149</v>
      </c>
      <c r="B3308" t="s">
        <v>41</v>
      </c>
      <c r="C3308">
        <v>7648876604</v>
      </c>
      <c r="D3308" s="2">
        <v>1</v>
      </c>
      <c r="E3308" t="str">
        <f>"4574674200804706"</f>
        <v>4574674200804706</v>
      </c>
      <c r="F3308" t="str">
        <f>"918"</f>
        <v>918</v>
      </c>
      <c r="G3308">
        <v>1</v>
      </c>
      <c r="H3308">
        <v>2023</v>
      </c>
      <c r="I3308" t="s">
        <v>3423</v>
      </c>
    </row>
    <row r="3309" spans="1:9" x14ac:dyDescent="0.3">
      <c r="A3309" t="s">
        <v>10149</v>
      </c>
      <c r="B3309" t="s">
        <v>41</v>
      </c>
      <c r="C3309">
        <v>7648876604</v>
      </c>
      <c r="D3309" s="2">
        <v>1</v>
      </c>
      <c r="E3309" t="str">
        <f>"4574674200804730"</f>
        <v>4574674200804730</v>
      </c>
      <c r="F3309" t="str">
        <f>"947"</f>
        <v>947</v>
      </c>
      <c r="G3309">
        <v>1</v>
      </c>
      <c r="H3309">
        <v>2023</v>
      </c>
      <c r="I3309" t="s">
        <v>3424</v>
      </c>
    </row>
    <row r="3310" spans="1:9" x14ac:dyDescent="0.3">
      <c r="A3310" t="s">
        <v>10150</v>
      </c>
      <c r="B3310" t="s">
        <v>42</v>
      </c>
      <c r="C3310">
        <v>7648876604</v>
      </c>
      <c r="D3310" s="2">
        <v>1</v>
      </c>
      <c r="E3310" t="str">
        <f>"4574674200804755"</f>
        <v>4574674200804755</v>
      </c>
      <c r="F3310" t="str">
        <f>"353"</f>
        <v>353</v>
      </c>
      <c r="G3310">
        <v>1</v>
      </c>
      <c r="H3310">
        <v>2023</v>
      </c>
      <c r="I3310" t="s">
        <v>3425</v>
      </c>
    </row>
    <row r="3311" spans="1:9" x14ac:dyDescent="0.3">
      <c r="A3311" t="s">
        <v>10150</v>
      </c>
      <c r="B3311" t="s">
        <v>42</v>
      </c>
      <c r="C3311">
        <v>7648876604</v>
      </c>
      <c r="D3311" s="2">
        <v>1</v>
      </c>
      <c r="E3311" t="str">
        <f>"4574674200804763"</f>
        <v>4574674200804763</v>
      </c>
      <c r="F3311" t="str">
        <f>"183"</f>
        <v>183</v>
      </c>
      <c r="G3311">
        <v>1</v>
      </c>
      <c r="H3311">
        <v>2023</v>
      </c>
      <c r="I3311" t="s">
        <v>3426</v>
      </c>
    </row>
    <row r="3312" spans="1:9" x14ac:dyDescent="0.3">
      <c r="A3312" t="s">
        <v>10150</v>
      </c>
      <c r="B3312" t="s">
        <v>42</v>
      </c>
      <c r="C3312">
        <v>7648876604</v>
      </c>
      <c r="D3312" s="2">
        <v>1</v>
      </c>
      <c r="E3312" t="str">
        <f>"4574674200804789"</f>
        <v>4574674200804789</v>
      </c>
      <c r="F3312" t="str">
        <f>"020"</f>
        <v>020</v>
      </c>
      <c r="G3312">
        <v>1</v>
      </c>
      <c r="H3312">
        <v>2023</v>
      </c>
      <c r="I3312" t="s">
        <v>3427</v>
      </c>
    </row>
    <row r="3313" spans="1:9" x14ac:dyDescent="0.3">
      <c r="A3313" t="s">
        <v>10150</v>
      </c>
      <c r="B3313" t="s">
        <v>42</v>
      </c>
      <c r="C3313">
        <v>7648876604</v>
      </c>
      <c r="D3313" s="2">
        <v>1</v>
      </c>
      <c r="E3313" t="str">
        <f>"4574674200804847"</f>
        <v>4574674200804847</v>
      </c>
      <c r="F3313" t="str">
        <f>"102"</f>
        <v>102</v>
      </c>
      <c r="G3313">
        <v>1</v>
      </c>
      <c r="H3313">
        <v>2023</v>
      </c>
      <c r="I3313" t="s">
        <v>3428</v>
      </c>
    </row>
    <row r="3314" spans="1:9" x14ac:dyDescent="0.3">
      <c r="A3314" t="s">
        <v>10150</v>
      </c>
      <c r="B3314" t="s">
        <v>42</v>
      </c>
      <c r="C3314">
        <v>7648876604</v>
      </c>
      <c r="D3314" s="2">
        <v>1</v>
      </c>
      <c r="E3314" t="str">
        <f>"4574674200804888"</f>
        <v>4574674200804888</v>
      </c>
      <c r="F3314" t="str">
        <f>"613"</f>
        <v>613</v>
      </c>
      <c r="G3314">
        <v>1</v>
      </c>
      <c r="H3314">
        <v>2023</v>
      </c>
      <c r="I3314" t="s">
        <v>3429</v>
      </c>
    </row>
    <row r="3315" spans="1:9" x14ac:dyDescent="0.3">
      <c r="A3315" t="s">
        <v>10150</v>
      </c>
      <c r="B3315" t="s">
        <v>42</v>
      </c>
      <c r="C3315">
        <v>7648876604</v>
      </c>
      <c r="D3315" s="2">
        <v>1</v>
      </c>
      <c r="E3315" t="str">
        <f>"4574674200804896"</f>
        <v>4574674200804896</v>
      </c>
      <c r="F3315" t="str">
        <f>"155"</f>
        <v>155</v>
      </c>
      <c r="G3315">
        <v>1</v>
      </c>
      <c r="H3315">
        <v>2023</v>
      </c>
      <c r="I3315" t="s">
        <v>3430</v>
      </c>
    </row>
    <row r="3316" spans="1:9" x14ac:dyDescent="0.3">
      <c r="A3316" t="s">
        <v>10150</v>
      </c>
      <c r="B3316" t="s">
        <v>42</v>
      </c>
      <c r="C3316">
        <v>7648876604</v>
      </c>
      <c r="D3316" s="2">
        <v>1</v>
      </c>
      <c r="E3316" t="str">
        <f>"4574674200804557"</f>
        <v>4574674200804557</v>
      </c>
      <c r="F3316" t="str">
        <f>"893"</f>
        <v>893</v>
      </c>
      <c r="G3316">
        <v>1</v>
      </c>
      <c r="H3316">
        <v>2023</v>
      </c>
      <c r="I3316" t="s">
        <v>3431</v>
      </c>
    </row>
    <row r="3317" spans="1:9" x14ac:dyDescent="0.3">
      <c r="A3317" t="s">
        <v>10150</v>
      </c>
      <c r="B3317" t="s">
        <v>42</v>
      </c>
      <c r="C3317">
        <v>7648876604</v>
      </c>
      <c r="D3317" s="2">
        <v>1</v>
      </c>
      <c r="E3317" t="str">
        <f>"4574674200804912"</f>
        <v>4574674200804912</v>
      </c>
      <c r="F3317" t="str">
        <f>"407"</f>
        <v>407</v>
      </c>
      <c r="G3317">
        <v>1</v>
      </c>
      <c r="H3317">
        <v>2023</v>
      </c>
      <c r="I3317" t="s">
        <v>3432</v>
      </c>
    </row>
    <row r="3318" spans="1:9" x14ac:dyDescent="0.3">
      <c r="A3318" t="s">
        <v>10150</v>
      </c>
      <c r="B3318" t="s">
        <v>42</v>
      </c>
      <c r="C3318">
        <v>7648876604</v>
      </c>
      <c r="D3318" s="2">
        <v>1</v>
      </c>
      <c r="E3318" t="str">
        <f>"4574674200804920"</f>
        <v>4574674200804920</v>
      </c>
      <c r="F3318" t="str">
        <f>"786"</f>
        <v>786</v>
      </c>
      <c r="G3318">
        <v>1</v>
      </c>
      <c r="H3318">
        <v>2023</v>
      </c>
      <c r="I3318" t="s">
        <v>3433</v>
      </c>
    </row>
    <row r="3319" spans="1:9" x14ac:dyDescent="0.3">
      <c r="A3319" t="s">
        <v>10150</v>
      </c>
      <c r="B3319" t="s">
        <v>42</v>
      </c>
      <c r="C3319">
        <v>7648876604</v>
      </c>
      <c r="D3319" s="2">
        <v>1</v>
      </c>
      <c r="E3319" t="str">
        <f>"4574674200804946"</f>
        <v>4574674200804946</v>
      </c>
      <c r="F3319" t="str">
        <f>"413"</f>
        <v>413</v>
      </c>
      <c r="G3319">
        <v>1</v>
      </c>
      <c r="H3319">
        <v>2023</v>
      </c>
      <c r="I3319" t="s">
        <v>3434</v>
      </c>
    </row>
    <row r="3320" spans="1:9" x14ac:dyDescent="0.3">
      <c r="A3320" t="s">
        <v>10151</v>
      </c>
      <c r="B3320" t="s">
        <v>43</v>
      </c>
      <c r="C3320">
        <v>7648876604</v>
      </c>
      <c r="D3320" s="2">
        <v>1</v>
      </c>
      <c r="E3320" t="str">
        <f>"4574674200804987"</f>
        <v>4574674200804987</v>
      </c>
      <c r="F3320" t="str">
        <f>"232"</f>
        <v>232</v>
      </c>
      <c r="G3320">
        <v>1</v>
      </c>
      <c r="H3320">
        <v>2023</v>
      </c>
      <c r="I3320" t="s">
        <v>3435</v>
      </c>
    </row>
    <row r="3321" spans="1:9" x14ac:dyDescent="0.3">
      <c r="A3321" t="s">
        <v>10151</v>
      </c>
      <c r="B3321" t="s">
        <v>43</v>
      </c>
      <c r="C3321">
        <v>7648876604</v>
      </c>
      <c r="D3321" s="2">
        <v>1</v>
      </c>
      <c r="E3321" t="str">
        <f>"4574674200805216"</f>
        <v>4574674200805216</v>
      </c>
      <c r="F3321" t="str">
        <f>"843"</f>
        <v>843</v>
      </c>
      <c r="G3321">
        <v>1</v>
      </c>
      <c r="H3321">
        <v>2023</v>
      </c>
      <c r="I3321" t="s">
        <v>3436</v>
      </c>
    </row>
    <row r="3322" spans="1:9" x14ac:dyDescent="0.3">
      <c r="A3322" t="s">
        <v>10151</v>
      </c>
      <c r="B3322" t="s">
        <v>43</v>
      </c>
      <c r="C3322">
        <v>7648876604</v>
      </c>
      <c r="D3322" s="2">
        <v>1</v>
      </c>
      <c r="E3322" t="str">
        <f>"4574674200805240"</f>
        <v>4574674200805240</v>
      </c>
      <c r="F3322" t="str">
        <f>"220"</f>
        <v>220</v>
      </c>
      <c r="G3322">
        <v>1</v>
      </c>
      <c r="H3322">
        <v>2023</v>
      </c>
      <c r="I3322" t="s">
        <v>3437</v>
      </c>
    </row>
    <row r="3323" spans="1:9" x14ac:dyDescent="0.3">
      <c r="A3323" t="s">
        <v>10151</v>
      </c>
      <c r="B3323" t="s">
        <v>43</v>
      </c>
      <c r="C3323">
        <v>7648876604</v>
      </c>
      <c r="D3323" s="2">
        <v>1</v>
      </c>
      <c r="E3323" t="str">
        <f>"4574674200805273"</f>
        <v>4574674200805273</v>
      </c>
      <c r="F3323" t="str">
        <f>"062"</f>
        <v>062</v>
      </c>
      <c r="G3323">
        <v>1</v>
      </c>
      <c r="H3323">
        <v>2023</v>
      </c>
      <c r="I3323" t="s">
        <v>3438</v>
      </c>
    </row>
    <row r="3324" spans="1:9" x14ac:dyDescent="0.3">
      <c r="A3324" t="s">
        <v>10151</v>
      </c>
      <c r="B3324" t="s">
        <v>43</v>
      </c>
      <c r="C3324">
        <v>7648876604</v>
      </c>
      <c r="D3324" s="2">
        <v>1</v>
      </c>
      <c r="E3324" t="str">
        <f>"4574674200805281"</f>
        <v>4574674200805281</v>
      </c>
      <c r="F3324" t="str">
        <f>"360"</f>
        <v>360</v>
      </c>
      <c r="G3324">
        <v>1</v>
      </c>
      <c r="H3324">
        <v>2023</v>
      </c>
      <c r="I3324" t="s">
        <v>3439</v>
      </c>
    </row>
    <row r="3325" spans="1:9" x14ac:dyDescent="0.3">
      <c r="A3325" t="s">
        <v>10151</v>
      </c>
      <c r="B3325" t="s">
        <v>43</v>
      </c>
      <c r="C3325">
        <v>7648876604</v>
      </c>
      <c r="D3325" s="2">
        <v>1</v>
      </c>
      <c r="E3325" t="str">
        <f>"4574674200805075"</f>
        <v>4574674200805075</v>
      </c>
      <c r="F3325" t="str">
        <f>"610"</f>
        <v>610</v>
      </c>
      <c r="G3325">
        <v>1</v>
      </c>
      <c r="H3325">
        <v>2023</v>
      </c>
      <c r="I3325" t="s">
        <v>3440</v>
      </c>
    </row>
    <row r="3326" spans="1:9" x14ac:dyDescent="0.3">
      <c r="A3326" t="s">
        <v>10151</v>
      </c>
      <c r="B3326" t="s">
        <v>43</v>
      </c>
      <c r="C3326">
        <v>7648876604</v>
      </c>
      <c r="D3326" s="2">
        <v>1</v>
      </c>
      <c r="E3326" t="str">
        <f>"4574674200805307"</f>
        <v>4574674200805307</v>
      </c>
      <c r="F3326" t="str">
        <f>"676"</f>
        <v>676</v>
      </c>
      <c r="G3326">
        <v>1</v>
      </c>
      <c r="H3326">
        <v>2023</v>
      </c>
      <c r="I3326" t="s">
        <v>3441</v>
      </c>
    </row>
    <row r="3327" spans="1:9" x14ac:dyDescent="0.3">
      <c r="A3327" t="s">
        <v>10151</v>
      </c>
      <c r="B3327" t="s">
        <v>43</v>
      </c>
      <c r="C3327">
        <v>7648876604</v>
      </c>
      <c r="D3327" s="2">
        <v>1</v>
      </c>
      <c r="E3327" t="str">
        <f>"4574674200805356"</f>
        <v>4574674200805356</v>
      </c>
      <c r="F3327" t="str">
        <f>"307"</f>
        <v>307</v>
      </c>
      <c r="G3327">
        <v>1</v>
      </c>
      <c r="H3327">
        <v>2023</v>
      </c>
      <c r="I3327" t="s">
        <v>3442</v>
      </c>
    </row>
    <row r="3328" spans="1:9" x14ac:dyDescent="0.3">
      <c r="A3328" t="s">
        <v>10151</v>
      </c>
      <c r="B3328" t="s">
        <v>43</v>
      </c>
      <c r="C3328">
        <v>7648876604</v>
      </c>
      <c r="D3328" s="2">
        <v>1</v>
      </c>
      <c r="E3328" t="str">
        <f>"4574674200805372"</f>
        <v>4574674200805372</v>
      </c>
      <c r="F3328" t="str">
        <f>"695"</f>
        <v>695</v>
      </c>
      <c r="G3328">
        <v>1</v>
      </c>
      <c r="H3328">
        <v>2023</v>
      </c>
      <c r="I3328" t="s">
        <v>3443</v>
      </c>
    </row>
    <row r="3329" spans="1:9" x14ac:dyDescent="0.3">
      <c r="A3329" t="s">
        <v>10151</v>
      </c>
      <c r="B3329" t="s">
        <v>43</v>
      </c>
      <c r="C3329">
        <v>7648876604</v>
      </c>
      <c r="D3329" s="2">
        <v>1</v>
      </c>
      <c r="E3329" t="str">
        <f>"4574674200805380"</f>
        <v>4574674200805380</v>
      </c>
      <c r="F3329" t="str">
        <f>"116"</f>
        <v>116</v>
      </c>
      <c r="G3329">
        <v>1</v>
      </c>
      <c r="H3329">
        <v>2023</v>
      </c>
      <c r="I3329" t="s">
        <v>3444</v>
      </c>
    </row>
    <row r="3330" spans="1:9" x14ac:dyDescent="0.3">
      <c r="A3330" t="s">
        <v>10152</v>
      </c>
      <c r="B3330" t="s">
        <v>44</v>
      </c>
      <c r="C3330">
        <v>7648876604</v>
      </c>
      <c r="D3330" s="2">
        <v>1</v>
      </c>
      <c r="E3330" t="str">
        <f>"4574674200805406"</f>
        <v>4574674200805406</v>
      </c>
      <c r="F3330" t="str">
        <f>"198"</f>
        <v>198</v>
      </c>
      <c r="G3330">
        <v>1</v>
      </c>
      <c r="H3330">
        <v>2023</v>
      </c>
      <c r="I3330" t="s">
        <v>3445</v>
      </c>
    </row>
    <row r="3331" spans="1:9" x14ac:dyDescent="0.3">
      <c r="A3331" t="s">
        <v>10152</v>
      </c>
      <c r="B3331" t="s">
        <v>44</v>
      </c>
      <c r="C3331">
        <v>7648876604</v>
      </c>
      <c r="D3331" s="2">
        <v>1</v>
      </c>
      <c r="E3331" t="str">
        <f>"4574674200805430"</f>
        <v>4574674200805430</v>
      </c>
      <c r="F3331" t="str">
        <f>"373"</f>
        <v>373</v>
      </c>
      <c r="G3331">
        <v>1</v>
      </c>
      <c r="H3331">
        <v>2023</v>
      </c>
      <c r="I3331" t="s">
        <v>3446</v>
      </c>
    </row>
    <row r="3332" spans="1:9" x14ac:dyDescent="0.3">
      <c r="A3332" t="s">
        <v>10152</v>
      </c>
      <c r="B3332" t="s">
        <v>44</v>
      </c>
      <c r="C3332">
        <v>7648876604</v>
      </c>
      <c r="D3332" s="2">
        <v>1</v>
      </c>
      <c r="E3332" t="str">
        <f>"4574674200805463"</f>
        <v>4574674200805463</v>
      </c>
      <c r="F3332" t="str">
        <f>"930"</f>
        <v>930</v>
      </c>
      <c r="G3332">
        <v>1</v>
      </c>
      <c r="H3332">
        <v>2023</v>
      </c>
      <c r="I3332" t="s">
        <v>3447</v>
      </c>
    </row>
    <row r="3333" spans="1:9" x14ac:dyDescent="0.3">
      <c r="A3333" t="s">
        <v>10152</v>
      </c>
      <c r="B3333" t="s">
        <v>44</v>
      </c>
      <c r="C3333">
        <v>7648876604</v>
      </c>
      <c r="D3333" s="2">
        <v>1</v>
      </c>
      <c r="E3333" t="str">
        <f>"4574674200805505"</f>
        <v>4574674200805505</v>
      </c>
      <c r="F3333" t="str">
        <f>"600"</f>
        <v>600</v>
      </c>
      <c r="G3333">
        <v>1</v>
      </c>
      <c r="H3333">
        <v>2023</v>
      </c>
      <c r="I3333" t="s">
        <v>3448</v>
      </c>
    </row>
    <row r="3334" spans="1:9" x14ac:dyDescent="0.3">
      <c r="A3334" t="s">
        <v>10152</v>
      </c>
      <c r="B3334" t="s">
        <v>44</v>
      </c>
      <c r="C3334">
        <v>7648876604</v>
      </c>
      <c r="D3334" s="2">
        <v>1</v>
      </c>
      <c r="E3334" t="str">
        <f>"4574674200805539"</f>
        <v>4574674200805539</v>
      </c>
      <c r="F3334" t="str">
        <f>"056"</f>
        <v>056</v>
      </c>
      <c r="G3334">
        <v>1</v>
      </c>
      <c r="H3334">
        <v>2023</v>
      </c>
      <c r="I3334" t="s">
        <v>3449</v>
      </c>
    </row>
    <row r="3335" spans="1:9" x14ac:dyDescent="0.3">
      <c r="A3335" t="s">
        <v>10152</v>
      </c>
      <c r="B3335" t="s">
        <v>44</v>
      </c>
      <c r="C3335">
        <v>7648876604</v>
      </c>
      <c r="D3335" s="2">
        <v>1</v>
      </c>
      <c r="E3335" t="str">
        <f>"4574674200805521"</f>
        <v>4574674200805521</v>
      </c>
      <c r="F3335" t="str">
        <f>"438"</f>
        <v>438</v>
      </c>
      <c r="G3335">
        <v>1</v>
      </c>
      <c r="H3335">
        <v>2023</v>
      </c>
      <c r="I3335" t="s">
        <v>3450</v>
      </c>
    </row>
    <row r="3336" spans="1:9" x14ac:dyDescent="0.3">
      <c r="A3336" t="s">
        <v>10152</v>
      </c>
      <c r="B3336" t="s">
        <v>44</v>
      </c>
      <c r="C3336">
        <v>7648876604</v>
      </c>
      <c r="D3336" s="2">
        <v>1</v>
      </c>
      <c r="E3336" t="str">
        <f>"4574674200805612"</f>
        <v>4574674200805612</v>
      </c>
      <c r="F3336" t="str">
        <f>"258"</f>
        <v>258</v>
      </c>
      <c r="G3336">
        <v>1</v>
      </c>
      <c r="H3336">
        <v>2023</v>
      </c>
      <c r="I3336" t="s">
        <v>3451</v>
      </c>
    </row>
    <row r="3337" spans="1:9" x14ac:dyDescent="0.3">
      <c r="A3337" t="s">
        <v>10152</v>
      </c>
      <c r="B3337" t="s">
        <v>44</v>
      </c>
      <c r="C3337">
        <v>7648876604</v>
      </c>
      <c r="D3337" s="2">
        <v>1</v>
      </c>
      <c r="E3337" t="str">
        <f>"4574674200805554"</f>
        <v>4574674200805554</v>
      </c>
      <c r="F3337" t="str">
        <f>"557"</f>
        <v>557</v>
      </c>
      <c r="G3337">
        <v>1</v>
      </c>
      <c r="H3337">
        <v>2023</v>
      </c>
      <c r="I3337" t="s">
        <v>3452</v>
      </c>
    </row>
    <row r="3338" spans="1:9" x14ac:dyDescent="0.3">
      <c r="A3338" t="s">
        <v>10152</v>
      </c>
      <c r="B3338" t="s">
        <v>44</v>
      </c>
      <c r="C3338">
        <v>7648876604</v>
      </c>
      <c r="D3338" s="2">
        <v>1</v>
      </c>
      <c r="E3338" t="str">
        <f>"4574674200805570"</f>
        <v>4574674200805570</v>
      </c>
      <c r="F3338" t="str">
        <f>"964"</f>
        <v>964</v>
      </c>
      <c r="G3338">
        <v>1</v>
      </c>
      <c r="H3338">
        <v>2023</v>
      </c>
      <c r="I3338" t="s">
        <v>3453</v>
      </c>
    </row>
    <row r="3339" spans="1:9" x14ac:dyDescent="0.3">
      <c r="A3339" t="s">
        <v>10152</v>
      </c>
      <c r="B3339" t="s">
        <v>44</v>
      </c>
      <c r="C3339">
        <v>7648876604</v>
      </c>
      <c r="D3339" s="2">
        <v>1</v>
      </c>
      <c r="E3339" t="str">
        <f>"4574674200805844"</f>
        <v>4574674200805844</v>
      </c>
      <c r="F3339" t="str">
        <f>"521"</f>
        <v>521</v>
      </c>
      <c r="G3339">
        <v>1</v>
      </c>
      <c r="H3339">
        <v>2023</v>
      </c>
      <c r="I3339" t="s">
        <v>3454</v>
      </c>
    </row>
    <row r="3340" spans="1:9" x14ac:dyDescent="0.3">
      <c r="A3340" t="s">
        <v>10162</v>
      </c>
      <c r="B3340" t="s">
        <v>54</v>
      </c>
      <c r="C3340">
        <v>8989697390</v>
      </c>
      <c r="D3340" s="2">
        <v>1</v>
      </c>
      <c r="E3340" t="str">
        <f>"4574674200805851"</f>
        <v>4574674200805851</v>
      </c>
      <c r="F3340" t="str">
        <f>"436"</f>
        <v>436</v>
      </c>
      <c r="G3340">
        <v>1</v>
      </c>
      <c r="H3340">
        <v>2023</v>
      </c>
      <c r="I3340" t="s">
        <v>3455</v>
      </c>
    </row>
    <row r="3341" spans="1:9" x14ac:dyDescent="0.3">
      <c r="A3341" t="s">
        <v>10162</v>
      </c>
      <c r="B3341" t="s">
        <v>54</v>
      </c>
      <c r="C3341">
        <v>8989697390</v>
      </c>
      <c r="D3341" s="2">
        <v>1</v>
      </c>
      <c r="E3341" t="str">
        <f>"4574674200805885"</f>
        <v>4574674200805885</v>
      </c>
      <c r="F3341" t="str">
        <f>"939"</f>
        <v>939</v>
      </c>
      <c r="G3341">
        <v>1</v>
      </c>
      <c r="H3341">
        <v>2023</v>
      </c>
      <c r="I3341" t="s">
        <v>3456</v>
      </c>
    </row>
    <row r="3342" spans="1:9" x14ac:dyDescent="0.3">
      <c r="A3342" t="s">
        <v>10162</v>
      </c>
      <c r="B3342" t="s">
        <v>54</v>
      </c>
      <c r="C3342">
        <v>8989697390</v>
      </c>
      <c r="D3342" s="2">
        <v>1</v>
      </c>
      <c r="E3342" t="str">
        <f>"4574674200805893"</f>
        <v>4574674200805893</v>
      </c>
      <c r="F3342" t="str">
        <f>"733"</f>
        <v>733</v>
      </c>
      <c r="G3342">
        <v>1</v>
      </c>
      <c r="H3342">
        <v>2023</v>
      </c>
      <c r="I3342" t="s">
        <v>3457</v>
      </c>
    </row>
    <row r="3343" spans="1:9" x14ac:dyDescent="0.3">
      <c r="A3343" t="s">
        <v>10162</v>
      </c>
      <c r="B3343" t="s">
        <v>54</v>
      </c>
      <c r="C3343">
        <v>8989697390</v>
      </c>
      <c r="D3343" s="2">
        <v>1</v>
      </c>
      <c r="E3343" t="str">
        <f>"4574674200805901"</f>
        <v>4574674200805901</v>
      </c>
      <c r="F3343" t="str">
        <f>"567"</f>
        <v>567</v>
      </c>
      <c r="G3343">
        <v>1</v>
      </c>
      <c r="H3343">
        <v>2023</v>
      </c>
      <c r="I3343" t="s">
        <v>3458</v>
      </c>
    </row>
    <row r="3344" spans="1:9" x14ac:dyDescent="0.3">
      <c r="A3344" t="s">
        <v>10162</v>
      </c>
      <c r="B3344" t="s">
        <v>54</v>
      </c>
      <c r="C3344">
        <v>8989697390</v>
      </c>
      <c r="D3344" s="2">
        <v>1</v>
      </c>
      <c r="E3344" t="str">
        <f>"4574674200805968"</f>
        <v>4574674200805968</v>
      </c>
      <c r="F3344" t="str">
        <f>"715"</f>
        <v>715</v>
      </c>
      <c r="G3344">
        <v>1</v>
      </c>
      <c r="H3344">
        <v>2023</v>
      </c>
      <c r="I3344" t="s">
        <v>3459</v>
      </c>
    </row>
    <row r="3345" spans="1:9" x14ac:dyDescent="0.3">
      <c r="A3345" t="s">
        <v>10162</v>
      </c>
      <c r="B3345" t="s">
        <v>54</v>
      </c>
      <c r="C3345">
        <v>8989697390</v>
      </c>
      <c r="D3345" s="2">
        <v>1</v>
      </c>
      <c r="E3345" t="str">
        <f>"4574674200805992"</f>
        <v>4574674200805992</v>
      </c>
      <c r="F3345" t="str">
        <f>"480"</f>
        <v>480</v>
      </c>
      <c r="G3345">
        <v>1</v>
      </c>
      <c r="H3345">
        <v>2023</v>
      </c>
      <c r="I3345" t="s">
        <v>3460</v>
      </c>
    </row>
    <row r="3346" spans="1:9" x14ac:dyDescent="0.3">
      <c r="A3346" t="s">
        <v>10162</v>
      </c>
      <c r="B3346" t="s">
        <v>54</v>
      </c>
      <c r="C3346">
        <v>8989697390</v>
      </c>
      <c r="D3346" s="2">
        <v>1</v>
      </c>
      <c r="E3346" t="str">
        <f>"4574674200806024"</f>
        <v>4574674200806024</v>
      </c>
      <c r="F3346" t="str">
        <f>"919"</f>
        <v>919</v>
      </c>
      <c r="G3346">
        <v>1</v>
      </c>
      <c r="H3346">
        <v>2023</v>
      </c>
      <c r="I3346" t="s">
        <v>3461</v>
      </c>
    </row>
    <row r="3347" spans="1:9" x14ac:dyDescent="0.3">
      <c r="A3347" t="s">
        <v>10162</v>
      </c>
      <c r="B3347" t="s">
        <v>54</v>
      </c>
      <c r="C3347">
        <v>8989697390</v>
      </c>
      <c r="D3347" s="2">
        <v>1</v>
      </c>
      <c r="E3347" t="str">
        <f>"4574674200805745"</f>
        <v>4574674200805745</v>
      </c>
      <c r="F3347" t="str">
        <f>"174"</f>
        <v>174</v>
      </c>
      <c r="G3347">
        <v>1</v>
      </c>
      <c r="H3347">
        <v>2023</v>
      </c>
      <c r="I3347" t="s">
        <v>3462</v>
      </c>
    </row>
    <row r="3348" spans="1:9" x14ac:dyDescent="0.3">
      <c r="A3348" t="s">
        <v>10162</v>
      </c>
      <c r="B3348" t="s">
        <v>54</v>
      </c>
      <c r="C3348">
        <v>8989697390</v>
      </c>
      <c r="D3348" s="2">
        <v>1</v>
      </c>
      <c r="E3348" t="str">
        <f>"4574674200806057"</f>
        <v>4574674200806057</v>
      </c>
      <c r="F3348" t="str">
        <f>"508"</f>
        <v>508</v>
      </c>
      <c r="G3348">
        <v>1</v>
      </c>
      <c r="H3348">
        <v>2023</v>
      </c>
      <c r="I3348" t="s">
        <v>3463</v>
      </c>
    </row>
    <row r="3349" spans="1:9" x14ac:dyDescent="0.3">
      <c r="A3349" t="s">
        <v>10162</v>
      </c>
      <c r="B3349" t="s">
        <v>54</v>
      </c>
      <c r="C3349">
        <v>8989697390</v>
      </c>
      <c r="D3349" s="2">
        <v>1</v>
      </c>
      <c r="E3349" t="str">
        <f>"4574674200806040"</f>
        <v>4574674200806040</v>
      </c>
      <c r="F3349" t="str">
        <f>"585"</f>
        <v>585</v>
      </c>
      <c r="G3349">
        <v>1</v>
      </c>
      <c r="H3349">
        <v>2023</v>
      </c>
      <c r="I3349" t="s">
        <v>3464</v>
      </c>
    </row>
    <row r="3350" spans="1:9" x14ac:dyDescent="0.3">
      <c r="A3350" t="s">
        <v>10140</v>
      </c>
      <c r="B3350" t="s">
        <v>55</v>
      </c>
      <c r="C3350">
        <v>8989697390</v>
      </c>
      <c r="D3350" s="2">
        <v>1</v>
      </c>
      <c r="E3350" t="str">
        <f>"4574674200806065"</f>
        <v>4574674200806065</v>
      </c>
      <c r="F3350" t="str">
        <f>"176"</f>
        <v>176</v>
      </c>
      <c r="G3350">
        <v>1</v>
      </c>
      <c r="H3350">
        <v>2023</v>
      </c>
      <c r="I3350" t="s">
        <v>3465</v>
      </c>
    </row>
    <row r="3351" spans="1:9" x14ac:dyDescent="0.3">
      <c r="A3351" t="s">
        <v>10140</v>
      </c>
      <c r="B3351" t="s">
        <v>55</v>
      </c>
      <c r="C3351">
        <v>8989697390</v>
      </c>
      <c r="D3351" s="2">
        <v>1</v>
      </c>
      <c r="E3351" t="str">
        <f>"4574674200806073"</f>
        <v>4574674200806073</v>
      </c>
      <c r="F3351" t="str">
        <f>"283"</f>
        <v>283</v>
      </c>
      <c r="G3351">
        <v>1</v>
      </c>
      <c r="H3351">
        <v>2023</v>
      </c>
      <c r="I3351" t="s">
        <v>3466</v>
      </c>
    </row>
    <row r="3352" spans="1:9" x14ac:dyDescent="0.3">
      <c r="A3352" t="s">
        <v>10140</v>
      </c>
      <c r="B3352" t="s">
        <v>55</v>
      </c>
      <c r="C3352">
        <v>8989697390</v>
      </c>
      <c r="D3352" s="2">
        <v>1</v>
      </c>
      <c r="E3352" t="str">
        <f>"4574674200806156"</f>
        <v>4574674200806156</v>
      </c>
      <c r="F3352" t="str">
        <f>"500"</f>
        <v>500</v>
      </c>
      <c r="G3352">
        <v>1</v>
      </c>
      <c r="H3352">
        <v>2023</v>
      </c>
      <c r="I3352" t="s">
        <v>3467</v>
      </c>
    </row>
    <row r="3353" spans="1:9" x14ac:dyDescent="0.3">
      <c r="A3353" t="s">
        <v>10140</v>
      </c>
      <c r="B3353" t="s">
        <v>55</v>
      </c>
      <c r="C3353">
        <v>8989697390</v>
      </c>
      <c r="D3353" s="2">
        <v>1</v>
      </c>
      <c r="E3353" t="str">
        <f>"4574674200806180"</f>
        <v>4574674200806180</v>
      </c>
      <c r="F3353" t="str">
        <f>"813"</f>
        <v>813</v>
      </c>
      <c r="G3353">
        <v>1</v>
      </c>
      <c r="H3353">
        <v>2023</v>
      </c>
      <c r="I3353" t="s">
        <v>3468</v>
      </c>
    </row>
    <row r="3354" spans="1:9" x14ac:dyDescent="0.3">
      <c r="A3354" t="s">
        <v>10140</v>
      </c>
      <c r="B3354" t="s">
        <v>55</v>
      </c>
      <c r="C3354">
        <v>8989697390</v>
      </c>
      <c r="D3354" s="2">
        <v>1</v>
      </c>
      <c r="E3354" t="str">
        <f>"4574674200806404"</f>
        <v>4574674200806404</v>
      </c>
      <c r="F3354" t="str">
        <f>"640"</f>
        <v>640</v>
      </c>
      <c r="G3354">
        <v>1</v>
      </c>
      <c r="H3354">
        <v>2023</v>
      </c>
      <c r="I3354" t="s">
        <v>3469</v>
      </c>
    </row>
    <row r="3355" spans="1:9" x14ac:dyDescent="0.3">
      <c r="A3355" t="s">
        <v>10140</v>
      </c>
      <c r="B3355" t="s">
        <v>55</v>
      </c>
      <c r="C3355">
        <v>8989697390</v>
      </c>
      <c r="D3355" s="2">
        <v>1</v>
      </c>
      <c r="E3355" t="str">
        <f>"4574674200806438"</f>
        <v>4574674200806438</v>
      </c>
      <c r="F3355" t="str">
        <f>"147"</f>
        <v>147</v>
      </c>
      <c r="G3355">
        <v>1</v>
      </c>
      <c r="H3355">
        <v>2023</v>
      </c>
      <c r="I3355" t="s">
        <v>3470</v>
      </c>
    </row>
    <row r="3356" spans="1:9" x14ac:dyDescent="0.3">
      <c r="A3356" t="s">
        <v>10140</v>
      </c>
      <c r="B3356" t="s">
        <v>55</v>
      </c>
      <c r="C3356">
        <v>8989697390</v>
      </c>
      <c r="D3356" s="2">
        <v>1</v>
      </c>
      <c r="E3356" t="str">
        <f>"4574674200806446"</f>
        <v>4574674200806446</v>
      </c>
      <c r="F3356" t="str">
        <f>"216"</f>
        <v>216</v>
      </c>
      <c r="G3356">
        <v>1</v>
      </c>
      <c r="H3356">
        <v>2023</v>
      </c>
      <c r="I3356" t="s">
        <v>3471</v>
      </c>
    </row>
    <row r="3357" spans="1:9" x14ac:dyDescent="0.3">
      <c r="A3357" t="s">
        <v>10140</v>
      </c>
      <c r="B3357" t="s">
        <v>55</v>
      </c>
      <c r="C3357">
        <v>8989697390</v>
      </c>
      <c r="D3357" s="2">
        <v>1</v>
      </c>
      <c r="E3357" t="str">
        <f>"4574674200806461"</f>
        <v>4574674200806461</v>
      </c>
      <c r="F3357" t="str">
        <f>"924"</f>
        <v>924</v>
      </c>
      <c r="G3357">
        <v>1</v>
      </c>
      <c r="H3357">
        <v>2023</v>
      </c>
      <c r="I3357" t="s">
        <v>3472</v>
      </c>
    </row>
    <row r="3358" spans="1:9" x14ac:dyDescent="0.3">
      <c r="A3358" t="s">
        <v>10140</v>
      </c>
      <c r="B3358" t="s">
        <v>55</v>
      </c>
      <c r="C3358">
        <v>8989697390</v>
      </c>
      <c r="D3358" s="2">
        <v>1</v>
      </c>
      <c r="E3358" t="str">
        <f>"4574674200806248"</f>
        <v>4574674200806248</v>
      </c>
      <c r="F3358" t="str">
        <f>"023"</f>
        <v>023</v>
      </c>
      <c r="G3358">
        <v>1</v>
      </c>
      <c r="H3358">
        <v>2023</v>
      </c>
      <c r="I3358" t="s">
        <v>3473</v>
      </c>
    </row>
    <row r="3359" spans="1:9" x14ac:dyDescent="0.3">
      <c r="A3359" t="s">
        <v>10140</v>
      </c>
      <c r="B3359" t="s">
        <v>55</v>
      </c>
      <c r="C3359">
        <v>8989697390</v>
      </c>
      <c r="D3359" s="2">
        <v>1</v>
      </c>
      <c r="E3359" t="str">
        <f>"4574674200806511"</f>
        <v>4574674200806511</v>
      </c>
      <c r="F3359" t="str">
        <f>"134"</f>
        <v>134</v>
      </c>
      <c r="G3359">
        <v>1</v>
      </c>
      <c r="H3359">
        <v>2023</v>
      </c>
      <c r="I3359" t="s">
        <v>3474</v>
      </c>
    </row>
    <row r="3360" spans="1:9" x14ac:dyDescent="0.3">
      <c r="A3360" t="s">
        <v>10133</v>
      </c>
      <c r="B3360" t="s">
        <v>56</v>
      </c>
      <c r="C3360">
        <v>8989697390</v>
      </c>
      <c r="D3360" s="2">
        <v>1</v>
      </c>
      <c r="E3360" t="str">
        <f>"4574674200806545"</f>
        <v>4574674200806545</v>
      </c>
      <c r="F3360" t="str">
        <f>"245"</f>
        <v>245</v>
      </c>
      <c r="G3360">
        <v>1</v>
      </c>
      <c r="H3360">
        <v>2023</v>
      </c>
      <c r="I3360" t="s">
        <v>3475</v>
      </c>
    </row>
    <row r="3361" spans="1:9" x14ac:dyDescent="0.3">
      <c r="A3361" t="s">
        <v>10133</v>
      </c>
      <c r="B3361" t="s">
        <v>56</v>
      </c>
      <c r="C3361">
        <v>8989697390</v>
      </c>
      <c r="D3361" s="2">
        <v>1</v>
      </c>
      <c r="E3361" t="str">
        <f>"4574674200806586"</f>
        <v>4574674200806586</v>
      </c>
      <c r="F3361" t="str">
        <f>"578"</f>
        <v>578</v>
      </c>
      <c r="G3361">
        <v>1</v>
      </c>
      <c r="H3361">
        <v>2023</v>
      </c>
      <c r="I3361" t="s">
        <v>3476</v>
      </c>
    </row>
    <row r="3362" spans="1:9" x14ac:dyDescent="0.3">
      <c r="A3362" t="s">
        <v>10133</v>
      </c>
      <c r="B3362" t="s">
        <v>56</v>
      </c>
      <c r="C3362">
        <v>8989697390</v>
      </c>
      <c r="D3362" s="2">
        <v>1</v>
      </c>
      <c r="E3362" t="str">
        <f>"4574674200806594"</f>
        <v>4574674200806594</v>
      </c>
      <c r="F3362" t="str">
        <f>"578"</f>
        <v>578</v>
      </c>
      <c r="G3362">
        <v>1</v>
      </c>
      <c r="H3362">
        <v>2023</v>
      </c>
      <c r="I3362" t="s">
        <v>3477</v>
      </c>
    </row>
    <row r="3363" spans="1:9" x14ac:dyDescent="0.3">
      <c r="A3363" t="s">
        <v>10133</v>
      </c>
      <c r="B3363" t="s">
        <v>56</v>
      </c>
      <c r="C3363">
        <v>8989697390</v>
      </c>
      <c r="D3363" s="2">
        <v>1</v>
      </c>
      <c r="E3363" t="str">
        <f>"4574674200806636"</f>
        <v>4574674200806636</v>
      </c>
      <c r="F3363" t="str">
        <f>"964"</f>
        <v>964</v>
      </c>
      <c r="G3363">
        <v>1</v>
      </c>
      <c r="H3363">
        <v>2023</v>
      </c>
      <c r="I3363" t="s">
        <v>3478</v>
      </c>
    </row>
    <row r="3364" spans="1:9" x14ac:dyDescent="0.3">
      <c r="A3364" t="s">
        <v>10133</v>
      </c>
      <c r="B3364" t="s">
        <v>56</v>
      </c>
      <c r="C3364">
        <v>8989697390</v>
      </c>
      <c r="D3364" s="2">
        <v>1</v>
      </c>
      <c r="E3364" t="str">
        <f>"4574674200806644"</f>
        <v>4574674200806644</v>
      </c>
      <c r="F3364" t="str">
        <f>"964"</f>
        <v>964</v>
      </c>
      <c r="G3364">
        <v>1</v>
      </c>
      <c r="H3364">
        <v>2023</v>
      </c>
      <c r="I3364" t="s">
        <v>3479</v>
      </c>
    </row>
    <row r="3365" spans="1:9" x14ac:dyDescent="0.3">
      <c r="A3365" t="s">
        <v>10133</v>
      </c>
      <c r="B3365" t="s">
        <v>56</v>
      </c>
      <c r="C3365">
        <v>8989697390</v>
      </c>
      <c r="D3365" s="2">
        <v>1</v>
      </c>
      <c r="E3365" t="str">
        <f>"4574674200806677"</f>
        <v>4574674200806677</v>
      </c>
      <c r="F3365" t="str">
        <f>"756"</f>
        <v>756</v>
      </c>
      <c r="G3365">
        <v>1</v>
      </c>
      <c r="H3365">
        <v>2023</v>
      </c>
      <c r="I3365" t="s">
        <v>3480</v>
      </c>
    </row>
    <row r="3366" spans="1:9" x14ac:dyDescent="0.3">
      <c r="A3366" t="s">
        <v>10133</v>
      </c>
      <c r="B3366" t="s">
        <v>56</v>
      </c>
      <c r="C3366">
        <v>8989697390</v>
      </c>
      <c r="D3366" s="2">
        <v>1</v>
      </c>
      <c r="E3366" t="str">
        <f>"4574674200806701"</f>
        <v>4574674200806701</v>
      </c>
      <c r="F3366" t="str">
        <f>"460"</f>
        <v>460</v>
      </c>
      <c r="G3366">
        <v>1</v>
      </c>
      <c r="H3366">
        <v>2023</v>
      </c>
      <c r="I3366" t="s">
        <v>3481</v>
      </c>
    </row>
    <row r="3367" spans="1:9" x14ac:dyDescent="0.3">
      <c r="A3367" t="s">
        <v>10133</v>
      </c>
      <c r="B3367" t="s">
        <v>56</v>
      </c>
      <c r="C3367">
        <v>8989697390</v>
      </c>
      <c r="D3367" s="2">
        <v>1</v>
      </c>
      <c r="E3367" t="str">
        <f>"4574674200806362"</f>
        <v>4574674200806362</v>
      </c>
      <c r="F3367" t="str">
        <f>"483"</f>
        <v>483</v>
      </c>
      <c r="G3367">
        <v>1</v>
      </c>
      <c r="H3367">
        <v>2023</v>
      </c>
      <c r="I3367" t="s">
        <v>3482</v>
      </c>
    </row>
    <row r="3368" spans="1:9" x14ac:dyDescent="0.3">
      <c r="A3368" t="s">
        <v>10133</v>
      </c>
      <c r="B3368" t="s">
        <v>56</v>
      </c>
      <c r="C3368">
        <v>8989697390</v>
      </c>
      <c r="D3368" s="2">
        <v>1</v>
      </c>
      <c r="E3368" t="str">
        <f>"4574674200806727"</f>
        <v>4574674200806727</v>
      </c>
      <c r="F3368" t="str">
        <f>"883"</f>
        <v>883</v>
      </c>
      <c r="G3368">
        <v>1</v>
      </c>
      <c r="H3368">
        <v>2023</v>
      </c>
      <c r="I3368" t="s">
        <v>3483</v>
      </c>
    </row>
    <row r="3369" spans="1:9" x14ac:dyDescent="0.3">
      <c r="A3369" t="s">
        <v>10133</v>
      </c>
      <c r="B3369" t="s">
        <v>56</v>
      </c>
      <c r="C3369">
        <v>8989697390</v>
      </c>
      <c r="D3369" s="2">
        <v>1</v>
      </c>
      <c r="E3369" t="str">
        <f>"4574674200806743"</f>
        <v>4574674200806743</v>
      </c>
      <c r="F3369" t="str">
        <f>"524"</f>
        <v>524</v>
      </c>
      <c r="G3369">
        <v>1</v>
      </c>
      <c r="H3369">
        <v>2023</v>
      </c>
      <c r="I3369" t="s">
        <v>3484</v>
      </c>
    </row>
    <row r="3370" spans="1:9" x14ac:dyDescent="0.3">
      <c r="A3370" t="s">
        <v>10163</v>
      </c>
      <c r="B3370" t="s">
        <v>57</v>
      </c>
      <c r="C3370">
        <v>8989697390</v>
      </c>
      <c r="D3370" s="2">
        <v>1</v>
      </c>
      <c r="E3370" t="str">
        <f>"4574674200806768"</f>
        <v>4574674200806768</v>
      </c>
      <c r="F3370" t="str">
        <f>"122"</f>
        <v>122</v>
      </c>
      <c r="G3370">
        <v>1</v>
      </c>
      <c r="H3370">
        <v>2023</v>
      </c>
      <c r="I3370" t="s">
        <v>3485</v>
      </c>
    </row>
    <row r="3371" spans="1:9" x14ac:dyDescent="0.3">
      <c r="A3371" t="s">
        <v>10163</v>
      </c>
      <c r="B3371" t="s">
        <v>57</v>
      </c>
      <c r="C3371">
        <v>8989697390</v>
      </c>
      <c r="D3371" s="2">
        <v>1</v>
      </c>
      <c r="E3371" t="str">
        <f>"4574674200806792"</f>
        <v>4574674200806792</v>
      </c>
      <c r="F3371" t="str">
        <f>"419"</f>
        <v>419</v>
      </c>
      <c r="G3371">
        <v>1</v>
      </c>
      <c r="H3371">
        <v>2023</v>
      </c>
      <c r="I3371" t="s">
        <v>3486</v>
      </c>
    </row>
    <row r="3372" spans="1:9" x14ac:dyDescent="0.3">
      <c r="A3372" t="s">
        <v>10163</v>
      </c>
      <c r="B3372" t="s">
        <v>57</v>
      </c>
      <c r="C3372">
        <v>8989697390</v>
      </c>
      <c r="D3372" s="2">
        <v>1</v>
      </c>
      <c r="E3372" t="str">
        <f>"4574674200806842"</f>
        <v>4574674200806842</v>
      </c>
      <c r="F3372" t="str">
        <f>"579"</f>
        <v>579</v>
      </c>
      <c r="G3372">
        <v>1</v>
      </c>
      <c r="H3372">
        <v>2023</v>
      </c>
      <c r="I3372" t="s">
        <v>3487</v>
      </c>
    </row>
    <row r="3373" spans="1:9" x14ac:dyDescent="0.3">
      <c r="A3373" t="s">
        <v>10163</v>
      </c>
      <c r="B3373" t="s">
        <v>57</v>
      </c>
      <c r="C3373">
        <v>8989697390</v>
      </c>
      <c r="D3373" s="2">
        <v>1</v>
      </c>
      <c r="E3373" t="str">
        <f>"4574674200806867"</f>
        <v>4574674200806867</v>
      </c>
      <c r="F3373" t="str">
        <f>"597"</f>
        <v>597</v>
      </c>
      <c r="G3373">
        <v>1</v>
      </c>
      <c r="H3373">
        <v>2023</v>
      </c>
      <c r="I3373" t="s">
        <v>3488</v>
      </c>
    </row>
    <row r="3374" spans="1:9" x14ac:dyDescent="0.3">
      <c r="A3374" t="s">
        <v>10163</v>
      </c>
      <c r="B3374" t="s">
        <v>57</v>
      </c>
      <c r="C3374">
        <v>8989697390</v>
      </c>
      <c r="D3374" s="2">
        <v>1</v>
      </c>
      <c r="E3374" t="str">
        <f>"4574674200806875"</f>
        <v>4574674200806875</v>
      </c>
      <c r="F3374" t="str">
        <f>"138"</f>
        <v>138</v>
      </c>
      <c r="G3374">
        <v>1</v>
      </c>
      <c r="H3374">
        <v>2023</v>
      </c>
      <c r="I3374" t="s">
        <v>3489</v>
      </c>
    </row>
    <row r="3375" spans="1:9" x14ac:dyDescent="0.3">
      <c r="A3375" t="s">
        <v>10163</v>
      </c>
      <c r="B3375" t="s">
        <v>57</v>
      </c>
      <c r="C3375">
        <v>8989697390</v>
      </c>
      <c r="D3375" s="2">
        <v>1</v>
      </c>
      <c r="E3375" t="str">
        <f>"4574674200806917"</f>
        <v>4574674200806917</v>
      </c>
      <c r="F3375" t="str">
        <f>"209"</f>
        <v>209</v>
      </c>
      <c r="G3375">
        <v>1</v>
      </c>
      <c r="H3375">
        <v>2023</v>
      </c>
      <c r="I3375" t="s">
        <v>3490</v>
      </c>
    </row>
    <row r="3376" spans="1:9" x14ac:dyDescent="0.3">
      <c r="A3376" t="s">
        <v>10163</v>
      </c>
      <c r="B3376" t="s">
        <v>57</v>
      </c>
      <c r="C3376">
        <v>8989697390</v>
      </c>
      <c r="D3376" s="2">
        <v>1</v>
      </c>
      <c r="E3376" t="str">
        <f>"4574674200806925"</f>
        <v>4574674200806925</v>
      </c>
      <c r="F3376" t="str">
        <f>"833"</f>
        <v>833</v>
      </c>
      <c r="G3376">
        <v>1</v>
      </c>
      <c r="H3376">
        <v>2023</v>
      </c>
      <c r="I3376" t="s">
        <v>3491</v>
      </c>
    </row>
    <row r="3377" spans="1:9" x14ac:dyDescent="0.3">
      <c r="A3377" t="s">
        <v>10163</v>
      </c>
      <c r="B3377" t="s">
        <v>57</v>
      </c>
      <c r="C3377">
        <v>8989697390</v>
      </c>
      <c r="D3377" s="2">
        <v>1</v>
      </c>
      <c r="E3377" t="str">
        <f>"4574674200806933"</f>
        <v>4574674200806933</v>
      </c>
      <c r="F3377" t="str">
        <f>"945"</f>
        <v>945</v>
      </c>
      <c r="G3377">
        <v>1</v>
      </c>
      <c r="H3377">
        <v>2023</v>
      </c>
      <c r="I3377" t="s">
        <v>3492</v>
      </c>
    </row>
    <row r="3378" spans="1:9" x14ac:dyDescent="0.3">
      <c r="A3378" t="s">
        <v>10163</v>
      </c>
      <c r="B3378" t="s">
        <v>57</v>
      </c>
      <c r="C3378">
        <v>8989697390</v>
      </c>
      <c r="D3378" s="2">
        <v>1</v>
      </c>
      <c r="E3378" t="str">
        <f>"4574674200807212"</f>
        <v>4574674200807212</v>
      </c>
      <c r="F3378" t="str">
        <f>"953"</f>
        <v>953</v>
      </c>
      <c r="G3378">
        <v>1</v>
      </c>
      <c r="H3378">
        <v>2023</v>
      </c>
      <c r="I3378" t="s">
        <v>3493</v>
      </c>
    </row>
    <row r="3379" spans="1:9" x14ac:dyDescent="0.3">
      <c r="A3379" t="s">
        <v>10163</v>
      </c>
      <c r="B3379" t="s">
        <v>57</v>
      </c>
      <c r="C3379">
        <v>8989697390</v>
      </c>
      <c r="D3379" s="2">
        <v>1</v>
      </c>
      <c r="E3379" t="str">
        <f>"4574674200807220"</f>
        <v>4574674200807220</v>
      </c>
      <c r="F3379" t="str">
        <f>"936"</f>
        <v>936</v>
      </c>
      <c r="G3379">
        <v>1</v>
      </c>
      <c r="H3379">
        <v>2023</v>
      </c>
      <c r="I3379" t="s">
        <v>3494</v>
      </c>
    </row>
    <row r="3380" spans="1:9" x14ac:dyDescent="0.3">
      <c r="A3380" t="s">
        <v>10164</v>
      </c>
      <c r="B3380" t="s">
        <v>58</v>
      </c>
      <c r="C3380">
        <v>8989697390</v>
      </c>
      <c r="D3380" s="2">
        <v>1</v>
      </c>
      <c r="E3380" t="str">
        <f>"4574674200807238"</f>
        <v>4574674200807238</v>
      </c>
      <c r="F3380" t="str">
        <f>"395"</f>
        <v>395</v>
      </c>
      <c r="G3380">
        <v>1</v>
      </c>
      <c r="H3380">
        <v>2023</v>
      </c>
      <c r="I3380" t="s">
        <v>3495</v>
      </c>
    </row>
    <row r="3381" spans="1:9" x14ac:dyDescent="0.3">
      <c r="A3381" t="s">
        <v>10164</v>
      </c>
      <c r="B3381" t="s">
        <v>58</v>
      </c>
      <c r="C3381">
        <v>8989697390</v>
      </c>
      <c r="D3381" s="2">
        <v>1</v>
      </c>
      <c r="E3381" t="str">
        <f>"4574674200807105"</f>
        <v>4574674200807105</v>
      </c>
      <c r="F3381" t="str">
        <f>"540"</f>
        <v>540</v>
      </c>
      <c r="G3381">
        <v>1</v>
      </c>
      <c r="H3381">
        <v>2023</v>
      </c>
      <c r="I3381" t="s">
        <v>3496</v>
      </c>
    </row>
    <row r="3382" spans="1:9" x14ac:dyDescent="0.3">
      <c r="A3382" t="s">
        <v>10164</v>
      </c>
      <c r="B3382" t="s">
        <v>58</v>
      </c>
      <c r="C3382">
        <v>8989697390</v>
      </c>
      <c r="D3382" s="2">
        <v>1</v>
      </c>
      <c r="E3382" t="str">
        <f>"4574674200807261"</f>
        <v>4574674200807261</v>
      </c>
      <c r="F3382" t="str">
        <f>"255"</f>
        <v>255</v>
      </c>
      <c r="G3382">
        <v>1</v>
      </c>
      <c r="H3382">
        <v>2023</v>
      </c>
      <c r="I3382" t="s">
        <v>3497</v>
      </c>
    </row>
    <row r="3383" spans="1:9" x14ac:dyDescent="0.3">
      <c r="A3383" t="s">
        <v>10164</v>
      </c>
      <c r="B3383" t="s">
        <v>58</v>
      </c>
      <c r="C3383">
        <v>8989697390</v>
      </c>
      <c r="D3383" s="2">
        <v>1</v>
      </c>
      <c r="E3383" t="str">
        <f>"4574674200807295"</f>
        <v>4574674200807295</v>
      </c>
      <c r="F3383" t="str">
        <f>"901"</f>
        <v>901</v>
      </c>
      <c r="G3383">
        <v>1</v>
      </c>
      <c r="H3383">
        <v>2023</v>
      </c>
      <c r="I3383" t="s">
        <v>3498</v>
      </c>
    </row>
    <row r="3384" spans="1:9" x14ac:dyDescent="0.3">
      <c r="A3384" t="s">
        <v>10164</v>
      </c>
      <c r="B3384" t="s">
        <v>58</v>
      </c>
      <c r="C3384">
        <v>8989697390</v>
      </c>
      <c r="D3384" s="2">
        <v>1</v>
      </c>
      <c r="E3384" t="str">
        <f>"4574674200807303"</f>
        <v>4574674200807303</v>
      </c>
      <c r="F3384" t="str">
        <f>"819"</f>
        <v>819</v>
      </c>
      <c r="G3384">
        <v>1</v>
      </c>
      <c r="H3384">
        <v>2023</v>
      </c>
      <c r="I3384" t="s">
        <v>3499</v>
      </c>
    </row>
    <row r="3385" spans="1:9" x14ac:dyDescent="0.3">
      <c r="A3385" t="s">
        <v>10164</v>
      </c>
      <c r="B3385" t="s">
        <v>58</v>
      </c>
      <c r="C3385">
        <v>8989697390</v>
      </c>
      <c r="D3385" s="2">
        <v>1</v>
      </c>
      <c r="E3385" t="str">
        <f>"4574674200807345"</f>
        <v>4574674200807345</v>
      </c>
      <c r="F3385" t="str">
        <f>"367"</f>
        <v>367</v>
      </c>
      <c r="G3385">
        <v>1</v>
      </c>
      <c r="H3385">
        <v>2023</v>
      </c>
      <c r="I3385" t="s">
        <v>3500</v>
      </c>
    </row>
    <row r="3386" spans="1:9" x14ac:dyDescent="0.3">
      <c r="A3386" t="s">
        <v>10164</v>
      </c>
      <c r="B3386" t="s">
        <v>58</v>
      </c>
      <c r="C3386">
        <v>8989697390</v>
      </c>
      <c r="D3386" s="2">
        <v>1</v>
      </c>
      <c r="E3386" t="str">
        <f>"4574674200807352"</f>
        <v>4574674200807352</v>
      </c>
      <c r="F3386" t="str">
        <f>"883"</f>
        <v>883</v>
      </c>
      <c r="G3386">
        <v>1</v>
      </c>
      <c r="H3386">
        <v>2023</v>
      </c>
      <c r="I3386" t="s">
        <v>3501</v>
      </c>
    </row>
    <row r="3387" spans="1:9" x14ac:dyDescent="0.3">
      <c r="A3387" t="s">
        <v>10164</v>
      </c>
      <c r="B3387" t="s">
        <v>58</v>
      </c>
      <c r="C3387">
        <v>8989697390</v>
      </c>
      <c r="D3387" s="2">
        <v>1</v>
      </c>
      <c r="E3387" t="str">
        <f>"4574674200807600"</f>
        <v>4574674200807600</v>
      </c>
      <c r="F3387" t="str">
        <f>"283"</f>
        <v>283</v>
      </c>
      <c r="G3387">
        <v>1</v>
      </c>
      <c r="H3387">
        <v>2023</v>
      </c>
      <c r="I3387" t="s">
        <v>3502</v>
      </c>
    </row>
    <row r="3388" spans="1:9" x14ac:dyDescent="0.3">
      <c r="A3388" t="s">
        <v>10164</v>
      </c>
      <c r="B3388" t="s">
        <v>58</v>
      </c>
      <c r="C3388">
        <v>8989697390</v>
      </c>
      <c r="D3388" s="2">
        <v>1</v>
      </c>
      <c r="E3388" t="str">
        <f>"4574674200807410"</f>
        <v>4574674200807410</v>
      </c>
      <c r="F3388" t="str">
        <f>"114"</f>
        <v>114</v>
      </c>
      <c r="G3388">
        <v>1</v>
      </c>
      <c r="H3388">
        <v>2023</v>
      </c>
      <c r="I3388" t="s">
        <v>3503</v>
      </c>
    </row>
    <row r="3389" spans="1:9" x14ac:dyDescent="0.3">
      <c r="A3389" t="s">
        <v>10164</v>
      </c>
      <c r="B3389" t="s">
        <v>58</v>
      </c>
      <c r="C3389">
        <v>8989697390</v>
      </c>
      <c r="D3389" s="2">
        <v>1</v>
      </c>
      <c r="E3389" t="str">
        <f>"4574674200807634"</f>
        <v>4574674200807634</v>
      </c>
      <c r="F3389" t="str">
        <f>"122"</f>
        <v>122</v>
      </c>
      <c r="G3389">
        <v>1</v>
      </c>
      <c r="H3389">
        <v>2023</v>
      </c>
      <c r="I3389" t="s">
        <v>3504</v>
      </c>
    </row>
    <row r="3390" spans="1:9" x14ac:dyDescent="0.3">
      <c r="A3390" t="s">
        <v>10165</v>
      </c>
      <c r="B3390" t="s">
        <v>59</v>
      </c>
      <c r="C3390">
        <v>8989697390</v>
      </c>
      <c r="D3390" s="2">
        <v>1</v>
      </c>
      <c r="E3390" t="str">
        <f>"4574674200807626"</f>
        <v>4574674200807626</v>
      </c>
      <c r="F3390" t="str">
        <f>"537"</f>
        <v>537</v>
      </c>
      <c r="G3390">
        <v>1</v>
      </c>
      <c r="H3390">
        <v>2023</v>
      </c>
      <c r="I3390" t="s">
        <v>3505</v>
      </c>
    </row>
    <row r="3391" spans="1:9" x14ac:dyDescent="0.3">
      <c r="A3391" t="s">
        <v>10165</v>
      </c>
      <c r="B3391" t="s">
        <v>59</v>
      </c>
      <c r="C3391">
        <v>8989697390</v>
      </c>
      <c r="D3391" s="2">
        <v>1</v>
      </c>
      <c r="E3391" t="str">
        <f>"4574674200807659"</f>
        <v>4574674200807659</v>
      </c>
      <c r="F3391" t="str">
        <f>"572"</f>
        <v>572</v>
      </c>
      <c r="G3391">
        <v>1</v>
      </c>
      <c r="H3391">
        <v>2023</v>
      </c>
      <c r="I3391" t="s">
        <v>3506</v>
      </c>
    </row>
    <row r="3392" spans="1:9" x14ac:dyDescent="0.3">
      <c r="A3392" t="s">
        <v>10165</v>
      </c>
      <c r="B3392" t="s">
        <v>59</v>
      </c>
      <c r="C3392">
        <v>8989697390</v>
      </c>
      <c r="D3392" s="2">
        <v>1</v>
      </c>
      <c r="E3392" t="str">
        <f>"4574674200807667"</f>
        <v>4574674200807667</v>
      </c>
      <c r="F3392" t="str">
        <f>"618"</f>
        <v>618</v>
      </c>
      <c r="G3392">
        <v>1</v>
      </c>
      <c r="H3392">
        <v>2023</v>
      </c>
      <c r="I3392" t="s">
        <v>3507</v>
      </c>
    </row>
    <row r="3393" spans="1:9" x14ac:dyDescent="0.3">
      <c r="A3393" t="s">
        <v>10165</v>
      </c>
      <c r="B3393" t="s">
        <v>59</v>
      </c>
      <c r="C3393">
        <v>8989697390</v>
      </c>
      <c r="D3393" s="2">
        <v>1</v>
      </c>
      <c r="E3393" t="str">
        <f>"4574674200807675"</f>
        <v>4574674200807675</v>
      </c>
      <c r="F3393" t="str">
        <f>"118"</f>
        <v>118</v>
      </c>
      <c r="G3393">
        <v>1</v>
      </c>
      <c r="H3393">
        <v>2023</v>
      </c>
      <c r="I3393" t="s">
        <v>3508</v>
      </c>
    </row>
    <row r="3394" spans="1:9" x14ac:dyDescent="0.3">
      <c r="A3394" t="s">
        <v>10165</v>
      </c>
      <c r="B3394" t="s">
        <v>59</v>
      </c>
      <c r="C3394">
        <v>8989697390</v>
      </c>
      <c r="D3394" s="2">
        <v>1</v>
      </c>
      <c r="E3394" t="str">
        <f>"4574674200807725"</f>
        <v>4574674200807725</v>
      </c>
      <c r="F3394" t="str">
        <f>"345"</f>
        <v>345</v>
      </c>
      <c r="G3394">
        <v>1</v>
      </c>
      <c r="H3394">
        <v>2023</v>
      </c>
      <c r="I3394" t="s">
        <v>3509</v>
      </c>
    </row>
    <row r="3395" spans="1:9" x14ac:dyDescent="0.3">
      <c r="A3395" t="s">
        <v>10165</v>
      </c>
      <c r="B3395" t="s">
        <v>59</v>
      </c>
      <c r="C3395">
        <v>8989697390</v>
      </c>
      <c r="D3395" s="2">
        <v>1</v>
      </c>
      <c r="E3395" t="str">
        <f>"4574674200807535"</f>
        <v>4574674200807535</v>
      </c>
      <c r="F3395" t="str">
        <f>"380"</f>
        <v>380</v>
      </c>
      <c r="G3395">
        <v>1</v>
      </c>
      <c r="H3395">
        <v>2023</v>
      </c>
      <c r="I3395" t="s">
        <v>3510</v>
      </c>
    </row>
    <row r="3396" spans="1:9" x14ac:dyDescent="0.3">
      <c r="A3396" t="s">
        <v>10165</v>
      </c>
      <c r="B3396" t="s">
        <v>59</v>
      </c>
      <c r="C3396">
        <v>8989697390</v>
      </c>
      <c r="D3396" s="2">
        <v>1</v>
      </c>
      <c r="E3396" t="str">
        <f>"4574674200807782"</f>
        <v>4574674200807782</v>
      </c>
      <c r="F3396" t="str">
        <f>"237"</f>
        <v>237</v>
      </c>
      <c r="G3396">
        <v>1</v>
      </c>
      <c r="H3396">
        <v>2023</v>
      </c>
      <c r="I3396" t="s">
        <v>3511</v>
      </c>
    </row>
    <row r="3397" spans="1:9" x14ac:dyDescent="0.3">
      <c r="A3397" t="s">
        <v>10165</v>
      </c>
      <c r="B3397" t="s">
        <v>59</v>
      </c>
      <c r="C3397">
        <v>8989697390</v>
      </c>
      <c r="D3397" s="2">
        <v>1</v>
      </c>
      <c r="E3397" t="str">
        <f>"4574674200807790"</f>
        <v>4574674200807790</v>
      </c>
      <c r="F3397" t="str">
        <f>"017"</f>
        <v>017</v>
      </c>
      <c r="G3397">
        <v>1</v>
      </c>
      <c r="H3397">
        <v>2023</v>
      </c>
      <c r="I3397" t="s">
        <v>3512</v>
      </c>
    </row>
    <row r="3398" spans="1:9" x14ac:dyDescent="0.3">
      <c r="A3398" t="s">
        <v>10165</v>
      </c>
      <c r="B3398" t="s">
        <v>59</v>
      </c>
      <c r="C3398">
        <v>8989697390</v>
      </c>
      <c r="D3398" s="2">
        <v>1</v>
      </c>
      <c r="E3398" t="str">
        <f>"4574674200807808"</f>
        <v>4574674200807808</v>
      </c>
      <c r="F3398" t="str">
        <f>"708"</f>
        <v>708</v>
      </c>
      <c r="G3398">
        <v>1</v>
      </c>
      <c r="H3398">
        <v>2023</v>
      </c>
      <c r="I3398" t="s">
        <v>3513</v>
      </c>
    </row>
    <row r="3399" spans="1:9" x14ac:dyDescent="0.3">
      <c r="A3399" t="s">
        <v>10165</v>
      </c>
      <c r="B3399" t="s">
        <v>59</v>
      </c>
      <c r="C3399">
        <v>8989697390</v>
      </c>
      <c r="D3399" s="2">
        <v>1</v>
      </c>
      <c r="E3399" t="str">
        <f>"4574674200807824"</f>
        <v>4574674200807824</v>
      </c>
      <c r="F3399" t="str">
        <f>"548"</f>
        <v>548</v>
      </c>
      <c r="G3399">
        <v>1</v>
      </c>
      <c r="H3399">
        <v>2023</v>
      </c>
      <c r="I3399" t="s">
        <v>3514</v>
      </c>
    </row>
    <row r="3400" spans="1:9" x14ac:dyDescent="0.3">
      <c r="A3400" t="s">
        <v>10166</v>
      </c>
      <c r="B3400" t="s">
        <v>60</v>
      </c>
      <c r="C3400">
        <v>8989697390</v>
      </c>
      <c r="D3400" s="2">
        <v>1</v>
      </c>
      <c r="E3400" t="str">
        <f>"4574674200807832"</f>
        <v>4574674200807832</v>
      </c>
      <c r="F3400" t="str">
        <f>"739"</f>
        <v>739</v>
      </c>
      <c r="G3400">
        <v>1</v>
      </c>
      <c r="H3400">
        <v>2023</v>
      </c>
      <c r="I3400" t="s">
        <v>3515</v>
      </c>
    </row>
    <row r="3401" spans="1:9" x14ac:dyDescent="0.3">
      <c r="A3401" t="s">
        <v>10166</v>
      </c>
      <c r="B3401" t="s">
        <v>60</v>
      </c>
      <c r="C3401">
        <v>8989697390</v>
      </c>
      <c r="D3401" s="2">
        <v>1</v>
      </c>
      <c r="E3401" t="str">
        <f>"4574674200807923"</f>
        <v>4574674200807923</v>
      </c>
      <c r="F3401" t="str">
        <f>"271"</f>
        <v>271</v>
      </c>
      <c r="G3401">
        <v>1</v>
      </c>
      <c r="H3401">
        <v>2023</v>
      </c>
      <c r="I3401" t="s">
        <v>3516</v>
      </c>
    </row>
    <row r="3402" spans="1:9" x14ac:dyDescent="0.3">
      <c r="A3402" t="s">
        <v>10166</v>
      </c>
      <c r="B3402" t="s">
        <v>60</v>
      </c>
      <c r="C3402">
        <v>8989697390</v>
      </c>
      <c r="D3402" s="2">
        <v>1</v>
      </c>
      <c r="E3402" t="str">
        <f>"4574674200807931"</f>
        <v>4574674200807931</v>
      </c>
      <c r="F3402" t="str">
        <f>"756"</f>
        <v>756</v>
      </c>
      <c r="G3402">
        <v>1</v>
      </c>
      <c r="H3402">
        <v>2023</v>
      </c>
      <c r="I3402" t="s">
        <v>3517</v>
      </c>
    </row>
    <row r="3403" spans="1:9" x14ac:dyDescent="0.3">
      <c r="A3403" t="s">
        <v>10166</v>
      </c>
      <c r="B3403" t="s">
        <v>60</v>
      </c>
      <c r="C3403">
        <v>8989697390</v>
      </c>
      <c r="D3403" s="2">
        <v>1</v>
      </c>
      <c r="E3403" t="str">
        <f>"4574674200807949"</f>
        <v>4574674200807949</v>
      </c>
      <c r="F3403" t="str">
        <f>"568"</f>
        <v>568</v>
      </c>
      <c r="G3403">
        <v>1</v>
      </c>
      <c r="H3403">
        <v>2023</v>
      </c>
      <c r="I3403" t="s">
        <v>3518</v>
      </c>
    </row>
    <row r="3404" spans="1:9" x14ac:dyDescent="0.3">
      <c r="A3404" t="s">
        <v>10166</v>
      </c>
      <c r="B3404" t="s">
        <v>60</v>
      </c>
      <c r="C3404">
        <v>8989697390</v>
      </c>
      <c r="D3404" s="2">
        <v>1</v>
      </c>
      <c r="E3404" t="str">
        <f>"4574674200807964"</f>
        <v>4574674200807964</v>
      </c>
      <c r="F3404" t="str">
        <f>"572"</f>
        <v>572</v>
      </c>
      <c r="G3404">
        <v>1</v>
      </c>
      <c r="H3404">
        <v>2023</v>
      </c>
      <c r="I3404" t="s">
        <v>3519</v>
      </c>
    </row>
    <row r="3405" spans="1:9" x14ac:dyDescent="0.3">
      <c r="A3405" t="s">
        <v>10166</v>
      </c>
      <c r="B3405" t="s">
        <v>60</v>
      </c>
      <c r="C3405">
        <v>8989697390</v>
      </c>
      <c r="D3405" s="2">
        <v>1</v>
      </c>
      <c r="E3405" t="str">
        <f>"4574674200808004"</f>
        <v>4574674200808004</v>
      </c>
      <c r="F3405" t="str">
        <f>"431"</f>
        <v>431</v>
      </c>
      <c r="G3405">
        <v>1</v>
      </c>
      <c r="H3405">
        <v>2023</v>
      </c>
      <c r="I3405" t="s">
        <v>3520</v>
      </c>
    </row>
    <row r="3406" spans="1:9" x14ac:dyDescent="0.3">
      <c r="A3406" t="s">
        <v>10166</v>
      </c>
      <c r="B3406" t="s">
        <v>60</v>
      </c>
      <c r="C3406">
        <v>8989697390</v>
      </c>
      <c r="D3406" s="2">
        <v>1</v>
      </c>
      <c r="E3406" t="str">
        <f>"4574674200808038"</f>
        <v>4574674200808038</v>
      </c>
      <c r="F3406" t="str">
        <f>"831"</f>
        <v>831</v>
      </c>
      <c r="G3406">
        <v>1</v>
      </c>
      <c r="H3406">
        <v>2023</v>
      </c>
      <c r="I3406" t="s">
        <v>3521</v>
      </c>
    </row>
    <row r="3407" spans="1:9" x14ac:dyDescent="0.3">
      <c r="A3407" t="s">
        <v>10166</v>
      </c>
      <c r="B3407" t="s">
        <v>60</v>
      </c>
      <c r="C3407">
        <v>8989697390</v>
      </c>
      <c r="D3407" s="2">
        <v>1</v>
      </c>
      <c r="E3407" t="str">
        <f>"4574674200808202"</f>
        <v>4574674200808202</v>
      </c>
      <c r="F3407" t="str">
        <f>"551"</f>
        <v>551</v>
      </c>
      <c r="G3407">
        <v>1</v>
      </c>
      <c r="H3407">
        <v>2023</v>
      </c>
      <c r="I3407" t="s">
        <v>3522</v>
      </c>
    </row>
    <row r="3408" spans="1:9" x14ac:dyDescent="0.3">
      <c r="A3408" t="s">
        <v>10166</v>
      </c>
      <c r="B3408" t="s">
        <v>60</v>
      </c>
      <c r="C3408">
        <v>8989697390</v>
      </c>
      <c r="D3408" s="2">
        <v>1</v>
      </c>
      <c r="E3408" t="str">
        <f>"4574674200808277"</f>
        <v>4574674200808277</v>
      </c>
      <c r="F3408" t="str">
        <f>"832"</f>
        <v>832</v>
      </c>
      <c r="G3408">
        <v>1</v>
      </c>
      <c r="H3408">
        <v>2023</v>
      </c>
      <c r="I3408" t="s">
        <v>3523</v>
      </c>
    </row>
    <row r="3409" spans="1:9" x14ac:dyDescent="0.3">
      <c r="A3409" t="s">
        <v>10166</v>
      </c>
      <c r="B3409" t="s">
        <v>60</v>
      </c>
      <c r="C3409">
        <v>8989697390</v>
      </c>
      <c r="D3409" s="2">
        <v>1</v>
      </c>
      <c r="E3409" t="str">
        <f>"4574674200808095"</f>
        <v>4574674200808095</v>
      </c>
      <c r="F3409" t="str">
        <f>"381"</f>
        <v>381</v>
      </c>
      <c r="G3409">
        <v>1</v>
      </c>
      <c r="H3409">
        <v>2023</v>
      </c>
      <c r="I3409" t="s">
        <v>3524</v>
      </c>
    </row>
    <row r="3410" spans="1:9" x14ac:dyDescent="0.3">
      <c r="A3410" t="s">
        <v>10146</v>
      </c>
      <c r="B3410" t="s">
        <v>61</v>
      </c>
      <c r="C3410">
        <v>8989697390</v>
      </c>
      <c r="D3410" s="2">
        <v>1</v>
      </c>
      <c r="E3410" t="str">
        <f>"4574674200808160"</f>
        <v>4574674200808160</v>
      </c>
      <c r="F3410" t="str">
        <f>"032"</f>
        <v>032</v>
      </c>
      <c r="G3410">
        <v>1</v>
      </c>
      <c r="H3410">
        <v>2023</v>
      </c>
      <c r="I3410" t="s">
        <v>3525</v>
      </c>
    </row>
    <row r="3411" spans="1:9" x14ac:dyDescent="0.3">
      <c r="A3411" t="s">
        <v>10146</v>
      </c>
      <c r="B3411" t="s">
        <v>61</v>
      </c>
      <c r="C3411">
        <v>8989697390</v>
      </c>
      <c r="D3411" s="2">
        <v>1</v>
      </c>
      <c r="E3411" t="str">
        <f>"4574674200808129"</f>
        <v>4574674200808129</v>
      </c>
      <c r="F3411" t="str">
        <f>"428"</f>
        <v>428</v>
      </c>
      <c r="G3411">
        <v>1</v>
      </c>
      <c r="H3411">
        <v>2023</v>
      </c>
      <c r="I3411" t="s">
        <v>3526</v>
      </c>
    </row>
    <row r="3412" spans="1:9" x14ac:dyDescent="0.3">
      <c r="A3412" t="s">
        <v>10146</v>
      </c>
      <c r="B3412" t="s">
        <v>61</v>
      </c>
      <c r="C3412">
        <v>8989697390</v>
      </c>
      <c r="D3412" s="2">
        <v>1</v>
      </c>
      <c r="E3412" t="str">
        <f>"4574674200808137"</f>
        <v>4574674200808137</v>
      </c>
      <c r="F3412" t="str">
        <f>"829"</f>
        <v>829</v>
      </c>
      <c r="G3412">
        <v>1</v>
      </c>
      <c r="H3412">
        <v>2023</v>
      </c>
      <c r="I3412" t="s">
        <v>3527</v>
      </c>
    </row>
    <row r="3413" spans="1:9" x14ac:dyDescent="0.3">
      <c r="A3413" t="s">
        <v>10146</v>
      </c>
      <c r="B3413" t="s">
        <v>61</v>
      </c>
      <c r="C3413">
        <v>8989697390</v>
      </c>
      <c r="D3413" s="2">
        <v>1</v>
      </c>
      <c r="E3413" t="str">
        <f>"4574674200808400"</f>
        <v>4574674200808400</v>
      </c>
      <c r="F3413" t="str">
        <f>"430"</f>
        <v>430</v>
      </c>
      <c r="G3413">
        <v>1</v>
      </c>
      <c r="H3413">
        <v>2023</v>
      </c>
      <c r="I3413" t="s">
        <v>3528</v>
      </c>
    </row>
    <row r="3414" spans="1:9" x14ac:dyDescent="0.3">
      <c r="A3414" t="s">
        <v>10146</v>
      </c>
      <c r="B3414" t="s">
        <v>61</v>
      </c>
      <c r="C3414">
        <v>8989697390</v>
      </c>
      <c r="D3414" s="2">
        <v>1</v>
      </c>
      <c r="E3414" t="str">
        <f>"4574674200808475"</f>
        <v>4574674200808475</v>
      </c>
      <c r="F3414" t="str">
        <f>"589"</f>
        <v>589</v>
      </c>
      <c r="G3414">
        <v>1</v>
      </c>
      <c r="H3414">
        <v>2023</v>
      </c>
      <c r="I3414" t="s">
        <v>3529</v>
      </c>
    </row>
    <row r="3415" spans="1:9" x14ac:dyDescent="0.3">
      <c r="A3415" t="s">
        <v>10146</v>
      </c>
      <c r="B3415" t="s">
        <v>61</v>
      </c>
      <c r="C3415">
        <v>8989697390</v>
      </c>
      <c r="D3415" s="2">
        <v>1</v>
      </c>
      <c r="E3415" t="str">
        <f>"4574674200808442"</f>
        <v>4574674200808442</v>
      </c>
      <c r="F3415" t="str">
        <f>"269"</f>
        <v>269</v>
      </c>
      <c r="G3415">
        <v>1</v>
      </c>
      <c r="H3415">
        <v>2023</v>
      </c>
      <c r="I3415" t="s">
        <v>3530</v>
      </c>
    </row>
    <row r="3416" spans="1:9" x14ac:dyDescent="0.3">
      <c r="A3416" t="s">
        <v>10146</v>
      </c>
      <c r="B3416" t="s">
        <v>61</v>
      </c>
      <c r="C3416">
        <v>8989697390</v>
      </c>
      <c r="D3416" s="2">
        <v>1</v>
      </c>
      <c r="E3416" t="str">
        <f>"4574674200808368"</f>
        <v>4574674200808368</v>
      </c>
      <c r="F3416" t="str">
        <f>"740"</f>
        <v>740</v>
      </c>
      <c r="G3416">
        <v>1</v>
      </c>
      <c r="H3416">
        <v>2023</v>
      </c>
      <c r="I3416" t="s">
        <v>3531</v>
      </c>
    </row>
    <row r="3417" spans="1:9" x14ac:dyDescent="0.3">
      <c r="A3417" t="s">
        <v>10146</v>
      </c>
      <c r="B3417" t="s">
        <v>61</v>
      </c>
      <c r="C3417">
        <v>8989697390</v>
      </c>
      <c r="D3417" s="2">
        <v>1</v>
      </c>
      <c r="E3417" t="str">
        <f>"4574674200808517"</f>
        <v>4574674200808517</v>
      </c>
      <c r="F3417" t="str">
        <f>"301"</f>
        <v>301</v>
      </c>
      <c r="G3417">
        <v>1</v>
      </c>
      <c r="H3417">
        <v>2023</v>
      </c>
      <c r="I3417" t="s">
        <v>3532</v>
      </c>
    </row>
    <row r="3418" spans="1:9" x14ac:dyDescent="0.3">
      <c r="A3418" t="s">
        <v>10146</v>
      </c>
      <c r="B3418" t="s">
        <v>61</v>
      </c>
      <c r="C3418">
        <v>8989697390</v>
      </c>
      <c r="D3418" s="2">
        <v>1</v>
      </c>
      <c r="E3418" t="str">
        <f>"4574674200808509"</f>
        <v>4574674200808509</v>
      </c>
      <c r="F3418" t="str">
        <f>"871"</f>
        <v>871</v>
      </c>
      <c r="G3418">
        <v>1</v>
      </c>
      <c r="H3418">
        <v>2023</v>
      </c>
      <c r="I3418" t="s">
        <v>3533</v>
      </c>
    </row>
    <row r="3419" spans="1:9" x14ac:dyDescent="0.3">
      <c r="A3419" t="s">
        <v>10146</v>
      </c>
      <c r="B3419" t="s">
        <v>61</v>
      </c>
      <c r="C3419">
        <v>8989697390</v>
      </c>
      <c r="D3419" s="2">
        <v>1</v>
      </c>
      <c r="E3419" t="str">
        <f>"4574674200808574"</f>
        <v>4574674200808574</v>
      </c>
      <c r="F3419" t="str">
        <f>"007"</f>
        <v>007</v>
      </c>
      <c r="G3419">
        <v>1</v>
      </c>
      <c r="H3419">
        <v>2023</v>
      </c>
      <c r="I3419" t="s">
        <v>3534</v>
      </c>
    </row>
    <row r="3420" spans="1:9" x14ac:dyDescent="0.3">
      <c r="A3420" t="s">
        <v>10147</v>
      </c>
      <c r="B3420" t="s">
        <v>62</v>
      </c>
      <c r="C3420">
        <v>8989697390</v>
      </c>
      <c r="D3420" s="2">
        <v>1</v>
      </c>
      <c r="E3420" t="str">
        <f>"4574674200808376"</f>
        <v>4574674200808376</v>
      </c>
      <c r="F3420" t="str">
        <f>"568"</f>
        <v>568</v>
      </c>
      <c r="G3420">
        <v>1</v>
      </c>
      <c r="H3420">
        <v>2023</v>
      </c>
      <c r="I3420" t="s">
        <v>3535</v>
      </c>
    </row>
    <row r="3421" spans="1:9" x14ac:dyDescent="0.3">
      <c r="A3421" t="s">
        <v>10147</v>
      </c>
      <c r="B3421" t="s">
        <v>62</v>
      </c>
      <c r="C3421">
        <v>8989697390</v>
      </c>
      <c r="D3421" s="2">
        <v>1</v>
      </c>
      <c r="E3421" t="str">
        <f>"4574674200808608"</f>
        <v>4574674200808608</v>
      </c>
      <c r="F3421" t="str">
        <f>"737"</f>
        <v>737</v>
      </c>
      <c r="G3421">
        <v>1</v>
      </c>
      <c r="H3421">
        <v>2023</v>
      </c>
      <c r="I3421" t="s">
        <v>3536</v>
      </c>
    </row>
    <row r="3422" spans="1:9" x14ac:dyDescent="0.3">
      <c r="A3422" t="s">
        <v>10147</v>
      </c>
      <c r="B3422" t="s">
        <v>62</v>
      </c>
      <c r="C3422">
        <v>8989697390</v>
      </c>
      <c r="D3422" s="2">
        <v>1</v>
      </c>
      <c r="E3422" t="str">
        <f>"4574674200808624"</f>
        <v>4574674200808624</v>
      </c>
      <c r="F3422" t="str">
        <f>"354"</f>
        <v>354</v>
      </c>
      <c r="G3422">
        <v>1</v>
      </c>
      <c r="H3422">
        <v>2023</v>
      </c>
      <c r="I3422" t="s">
        <v>3537</v>
      </c>
    </row>
    <row r="3423" spans="1:9" x14ac:dyDescent="0.3">
      <c r="A3423" t="s">
        <v>10147</v>
      </c>
      <c r="B3423" t="s">
        <v>62</v>
      </c>
      <c r="C3423">
        <v>8989697390</v>
      </c>
      <c r="D3423" s="2">
        <v>1</v>
      </c>
      <c r="E3423" t="str">
        <f>"4574674200808707"</f>
        <v>4574674200808707</v>
      </c>
      <c r="F3423" t="str">
        <f>"828"</f>
        <v>828</v>
      </c>
      <c r="G3423">
        <v>1</v>
      </c>
      <c r="H3423">
        <v>2023</v>
      </c>
      <c r="I3423" t="s">
        <v>3538</v>
      </c>
    </row>
    <row r="3424" spans="1:9" x14ac:dyDescent="0.3">
      <c r="A3424" t="s">
        <v>10147</v>
      </c>
      <c r="B3424" t="s">
        <v>62</v>
      </c>
      <c r="C3424">
        <v>8989697390</v>
      </c>
      <c r="D3424" s="2">
        <v>1</v>
      </c>
      <c r="E3424" t="str">
        <f>"4574674200808699"</f>
        <v>4574674200808699</v>
      </c>
      <c r="F3424" t="str">
        <f>"714"</f>
        <v>714</v>
      </c>
      <c r="G3424">
        <v>1</v>
      </c>
      <c r="H3424">
        <v>2023</v>
      </c>
      <c r="I3424" t="s">
        <v>3539</v>
      </c>
    </row>
    <row r="3425" spans="1:9" x14ac:dyDescent="0.3">
      <c r="A3425" t="s">
        <v>10147</v>
      </c>
      <c r="B3425" t="s">
        <v>62</v>
      </c>
      <c r="C3425">
        <v>8989697390</v>
      </c>
      <c r="D3425" s="2">
        <v>1</v>
      </c>
      <c r="E3425" t="str">
        <f>"4574674200808681"</f>
        <v>4574674200808681</v>
      </c>
      <c r="F3425" t="str">
        <f>"850"</f>
        <v>850</v>
      </c>
      <c r="G3425">
        <v>1</v>
      </c>
      <c r="H3425">
        <v>2023</v>
      </c>
      <c r="I3425" t="s">
        <v>3540</v>
      </c>
    </row>
    <row r="3426" spans="1:9" x14ac:dyDescent="0.3">
      <c r="A3426" t="s">
        <v>10147</v>
      </c>
      <c r="B3426" t="s">
        <v>62</v>
      </c>
      <c r="C3426">
        <v>8989697390</v>
      </c>
      <c r="D3426" s="2">
        <v>1</v>
      </c>
      <c r="E3426" t="str">
        <f>"4574674200808731"</f>
        <v>4574674200808731</v>
      </c>
      <c r="F3426" t="str">
        <f>"837"</f>
        <v>837</v>
      </c>
      <c r="G3426">
        <v>1</v>
      </c>
      <c r="H3426">
        <v>2023</v>
      </c>
      <c r="I3426" t="s">
        <v>3541</v>
      </c>
    </row>
    <row r="3427" spans="1:9" x14ac:dyDescent="0.3">
      <c r="A3427" t="s">
        <v>10147</v>
      </c>
      <c r="B3427" t="s">
        <v>62</v>
      </c>
      <c r="C3427">
        <v>8989697390</v>
      </c>
      <c r="D3427" s="2">
        <v>1</v>
      </c>
      <c r="E3427" t="str">
        <f>"4574674200808764"</f>
        <v>4574674200808764</v>
      </c>
      <c r="F3427" t="str">
        <f>"976"</f>
        <v>976</v>
      </c>
      <c r="G3427">
        <v>1</v>
      </c>
      <c r="H3427">
        <v>2023</v>
      </c>
      <c r="I3427" t="s">
        <v>3542</v>
      </c>
    </row>
    <row r="3428" spans="1:9" x14ac:dyDescent="0.3">
      <c r="A3428" t="s">
        <v>10147</v>
      </c>
      <c r="B3428" t="s">
        <v>62</v>
      </c>
      <c r="C3428">
        <v>8989697390</v>
      </c>
      <c r="D3428" s="2">
        <v>1</v>
      </c>
      <c r="E3428" t="str">
        <f>"4574674200808889"</f>
        <v>4574674200808889</v>
      </c>
      <c r="F3428" t="str">
        <f>"705"</f>
        <v>705</v>
      </c>
      <c r="G3428">
        <v>1</v>
      </c>
      <c r="H3428">
        <v>2023</v>
      </c>
      <c r="I3428" t="s">
        <v>3543</v>
      </c>
    </row>
    <row r="3429" spans="1:9" x14ac:dyDescent="0.3">
      <c r="A3429" t="s">
        <v>10147</v>
      </c>
      <c r="B3429" t="s">
        <v>62</v>
      </c>
      <c r="C3429">
        <v>8989697390</v>
      </c>
      <c r="D3429" s="2">
        <v>1</v>
      </c>
      <c r="E3429" t="str">
        <f>"4574674200808905"</f>
        <v>4574674200808905</v>
      </c>
      <c r="F3429" t="str">
        <f>"724"</f>
        <v>724</v>
      </c>
      <c r="G3429">
        <v>1</v>
      </c>
      <c r="H3429">
        <v>2023</v>
      </c>
      <c r="I3429" t="s">
        <v>3544</v>
      </c>
    </row>
    <row r="3430" spans="1:9" x14ac:dyDescent="0.3">
      <c r="A3430" t="s">
        <v>10167</v>
      </c>
      <c r="B3430" t="s">
        <v>63</v>
      </c>
      <c r="C3430">
        <v>8989697390</v>
      </c>
      <c r="D3430" s="2">
        <v>1</v>
      </c>
      <c r="E3430" t="str">
        <f>"4574674200809036"</f>
        <v>4574674200809036</v>
      </c>
      <c r="F3430" t="str">
        <f>"608"</f>
        <v>608</v>
      </c>
      <c r="G3430">
        <v>1</v>
      </c>
      <c r="H3430">
        <v>2023</v>
      </c>
      <c r="I3430" t="s">
        <v>3545</v>
      </c>
    </row>
    <row r="3431" spans="1:9" x14ac:dyDescent="0.3">
      <c r="A3431" t="s">
        <v>10167</v>
      </c>
      <c r="B3431" t="s">
        <v>63</v>
      </c>
      <c r="C3431">
        <v>8989697390</v>
      </c>
      <c r="D3431" s="2">
        <v>1</v>
      </c>
      <c r="E3431" t="str">
        <f>"4574674200809069"</f>
        <v>4574674200809069</v>
      </c>
      <c r="F3431" t="str">
        <f>"316"</f>
        <v>316</v>
      </c>
      <c r="G3431">
        <v>1</v>
      </c>
      <c r="H3431">
        <v>2023</v>
      </c>
      <c r="I3431" t="s">
        <v>3546</v>
      </c>
    </row>
    <row r="3432" spans="1:9" x14ac:dyDescent="0.3">
      <c r="A3432" t="s">
        <v>10167</v>
      </c>
      <c r="B3432" t="s">
        <v>63</v>
      </c>
      <c r="C3432">
        <v>8989697390</v>
      </c>
      <c r="D3432" s="2">
        <v>1</v>
      </c>
      <c r="E3432" t="str">
        <f>"4574674200809077"</f>
        <v>4574674200809077</v>
      </c>
      <c r="F3432" t="str">
        <f>"118"</f>
        <v>118</v>
      </c>
      <c r="G3432">
        <v>1</v>
      </c>
      <c r="H3432">
        <v>2023</v>
      </c>
      <c r="I3432" t="s">
        <v>3547</v>
      </c>
    </row>
    <row r="3433" spans="1:9" x14ac:dyDescent="0.3">
      <c r="A3433" t="s">
        <v>10167</v>
      </c>
      <c r="B3433" t="s">
        <v>63</v>
      </c>
      <c r="C3433">
        <v>8989697390</v>
      </c>
      <c r="D3433" s="2">
        <v>1</v>
      </c>
      <c r="E3433" t="str">
        <f>"4574674200809085"</f>
        <v>4574674200809085</v>
      </c>
      <c r="F3433" t="str">
        <f>"812"</f>
        <v>812</v>
      </c>
      <c r="G3433">
        <v>1</v>
      </c>
      <c r="H3433">
        <v>2023</v>
      </c>
      <c r="I3433" t="s">
        <v>3548</v>
      </c>
    </row>
    <row r="3434" spans="1:9" x14ac:dyDescent="0.3">
      <c r="A3434" t="s">
        <v>10167</v>
      </c>
      <c r="B3434" t="s">
        <v>63</v>
      </c>
      <c r="C3434">
        <v>8989697390</v>
      </c>
      <c r="D3434" s="2">
        <v>1</v>
      </c>
      <c r="E3434" t="str">
        <f>"4574674200809127"</f>
        <v>4574674200809127</v>
      </c>
      <c r="F3434" t="str">
        <f>"794"</f>
        <v>794</v>
      </c>
      <c r="G3434">
        <v>1</v>
      </c>
      <c r="H3434">
        <v>2023</v>
      </c>
      <c r="I3434" t="s">
        <v>3549</v>
      </c>
    </row>
    <row r="3435" spans="1:9" x14ac:dyDescent="0.3">
      <c r="A3435" t="s">
        <v>10167</v>
      </c>
      <c r="B3435" t="s">
        <v>63</v>
      </c>
      <c r="C3435">
        <v>8989697390</v>
      </c>
      <c r="D3435" s="2">
        <v>1</v>
      </c>
      <c r="E3435" t="str">
        <f>"4574674200809218"</f>
        <v>4574674200809218</v>
      </c>
      <c r="F3435" t="str">
        <f>"241"</f>
        <v>241</v>
      </c>
      <c r="G3435">
        <v>1</v>
      </c>
      <c r="H3435">
        <v>2023</v>
      </c>
      <c r="I3435" t="s">
        <v>3550</v>
      </c>
    </row>
    <row r="3436" spans="1:9" x14ac:dyDescent="0.3">
      <c r="A3436" t="s">
        <v>10167</v>
      </c>
      <c r="B3436" t="s">
        <v>63</v>
      </c>
      <c r="C3436">
        <v>8989697390</v>
      </c>
      <c r="D3436" s="2">
        <v>1</v>
      </c>
      <c r="E3436" t="str">
        <f>"4574674200809200"</f>
        <v>4574674200809200</v>
      </c>
      <c r="F3436" t="str">
        <f>"710"</f>
        <v>710</v>
      </c>
      <c r="G3436">
        <v>1</v>
      </c>
      <c r="H3436">
        <v>2023</v>
      </c>
      <c r="I3436" t="s">
        <v>3551</v>
      </c>
    </row>
    <row r="3437" spans="1:9" x14ac:dyDescent="0.3">
      <c r="A3437" t="s">
        <v>10167</v>
      </c>
      <c r="B3437" t="s">
        <v>63</v>
      </c>
      <c r="C3437">
        <v>8989697390</v>
      </c>
      <c r="D3437" s="2">
        <v>1</v>
      </c>
      <c r="E3437" t="str">
        <f>"4574674200809192"</f>
        <v>4574674200809192</v>
      </c>
      <c r="F3437" t="str">
        <f>"566"</f>
        <v>566</v>
      </c>
      <c r="G3437">
        <v>1</v>
      </c>
      <c r="H3437">
        <v>2023</v>
      </c>
      <c r="I3437" t="s">
        <v>3552</v>
      </c>
    </row>
    <row r="3438" spans="1:9" x14ac:dyDescent="0.3">
      <c r="A3438" t="s">
        <v>10167</v>
      </c>
      <c r="B3438" t="s">
        <v>63</v>
      </c>
      <c r="C3438">
        <v>8989697390</v>
      </c>
      <c r="D3438" s="2">
        <v>1</v>
      </c>
      <c r="E3438" t="str">
        <f>"4574674200809432"</f>
        <v>4574674200809432</v>
      </c>
      <c r="F3438" t="str">
        <f>"059"</f>
        <v>059</v>
      </c>
      <c r="G3438">
        <v>1</v>
      </c>
      <c r="H3438">
        <v>2023</v>
      </c>
      <c r="I3438" t="s">
        <v>3553</v>
      </c>
    </row>
    <row r="3439" spans="1:9" x14ac:dyDescent="0.3">
      <c r="A3439" t="s">
        <v>10167</v>
      </c>
      <c r="B3439" t="s">
        <v>63</v>
      </c>
      <c r="C3439">
        <v>8989697390</v>
      </c>
      <c r="D3439" s="2">
        <v>1</v>
      </c>
      <c r="E3439" t="str">
        <f>"4574674200809408"</f>
        <v>4574674200809408</v>
      </c>
      <c r="F3439" t="str">
        <f>"446"</f>
        <v>446</v>
      </c>
      <c r="G3439">
        <v>1</v>
      </c>
      <c r="H3439">
        <v>2023</v>
      </c>
      <c r="I3439" t="s">
        <v>3554</v>
      </c>
    </row>
    <row r="3440" spans="1:9" x14ac:dyDescent="0.3">
      <c r="A3440" t="s">
        <v>10157</v>
      </c>
      <c r="B3440" t="s">
        <v>64</v>
      </c>
      <c r="C3440">
        <v>8989697390</v>
      </c>
      <c r="D3440" s="2">
        <v>1</v>
      </c>
      <c r="E3440" t="str">
        <f>"4574674200809481"</f>
        <v>4574674200809481</v>
      </c>
      <c r="F3440" t="str">
        <f>"109"</f>
        <v>109</v>
      </c>
      <c r="G3440">
        <v>1</v>
      </c>
      <c r="H3440">
        <v>2023</v>
      </c>
      <c r="I3440" t="s">
        <v>3555</v>
      </c>
    </row>
    <row r="3441" spans="1:9" x14ac:dyDescent="0.3">
      <c r="A3441" t="s">
        <v>10157</v>
      </c>
      <c r="B3441" t="s">
        <v>64</v>
      </c>
      <c r="C3441">
        <v>8989697390</v>
      </c>
      <c r="D3441" s="2">
        <v>1</v>
      </c>
      <c r="E3441" t="str">
        <f>"4574674200809507"</f>
        <v>4574674200809507</v>
      </c>
      <c r="F3441" t="str">
        <f>"525"</f>
        <v>525</v>
      </c>
      <c r="G3441">
        <v>1</v>
      </c>
      <c r="H3441">
        <v>2023</v>
      </c>
      <c r="I3441" t="s">
        <v>3556</v>
      </c>
    </row>
    <row r="3442" spans="1:9" x14ac:dyDescent="0.3">
      <c r="A3442" t="s">
        <v>10157</v>
      </c>
      <c r="B3442" t="s">
        <v>64</v>
      </c>
      <c r="C3442">
        <v>8989697390</v>
      </c>
      <c r="D3442" s="2">
        <v>1</v>
      </c>
      <c r="E3442" t="str">
        <f>"4574674200809549"</f>
        <v>4574674200809549</v>
      </c>
      <c r="F3442" t="str">
        <f>"156"</f>
        <v>156</v>
      </c>
      <c r="G3442">
        <v>1</v>
      </c>
      <c r="H3442">
        <v>2023</v>
      </c>
      <c r="I3442" t="s">
        <v>3557</v>
      </c>
    </row>
    <row r="3443" spans="1:9" x14ac:dyDescent="0.3">
      <c r="A3443" t="s">
        <v>10157</v>
      </c>
      <c r="B3443" t="s">
        <v>64</v>
      </c>
      <c r="C3443">
        <v>8989697390</v>
      </c>
      <c r="D3443" s="2">
        <v>1</v>
      </c>
      <c r="E3443" t="str">
        <f>"4574674200809598"</f>
        <v>4574674200809598</v>
      </c>
      <c r="F3443" t="str">
        <f>"129"</f>
        <v>129</v>
      </c>
      <c r="G3443">
        <v>1</v>
      </c>
      <c r="H3443">
        <v>2023</v>
      </c>
      <c r="I3443" t="s">
        <v>3558</v>
      </c>
    </row>
    <row r="3444" spans="1:9" x14ac:dyDescent="0.3">
      <c r="A3444" t="s">
        <v>10157</v>
      </c>
      <c r="B3444" t="s">
        <v>64</v>
      </c>
      <c r="C3444">
        <v>8989697390</v>
      </c>
      <c r="D3444" s="2">
        <v>1</v>
      </c>
      <c r="E3444" t="str">
        <f>"4574674200809614"</f>
        <v>4574674200809614</v>
      </c>
      <c r="F3444" t="str">
        <f>"652"</f>
        <v>652</v>
      </c>
      <c r="G3444">
        <v>1</v>
      </c>
      <c r="H3444">
        <v>2023</v>
      </c>
      <c r="I3444" t="s">
        <v>3559</v>
      </c>
    </row>
    <row r="3445" spans="1:9" x14ac:dyDescent="0.3">
      <c r="A3445" t="s">
        <v>10157</v>
      </c>
      <c r="B3445" t="s">
        <v>64</v>
      </c>
      <c r="C3445">
        <v>8989697390</v>
      </c>
      <c r="D3445" s="2">
        <v>1</v>
      </c>
      <c r="E3445" t="str">
        <f>"4574674200809648"</f>
        <v>4574674200809648</v>
      </c>
      <c r="F3445" t="str">
        <f>"873"</f>
        <v>873</v>
      </c>
      <c r="G3445">
        <v>1</v>
      </c>
      <c r="H3445">
        <v>2023</v>
      </c>
      <c r="I3445" t="s">
        <v>3560</v>
      </c>
    </row>
    <row r="3446" spans="1:9" x14ac:dyDescent="0.3">
      <c r="A3446" t="s">
        <v>10157</v>
      </c>
      <c r="B3446" t="s">
        <v>64</v>
      </c>
      <c r="C3446">
        <v>8989697390</v>
      </c>
      <c r="D3446" s="2">
        <v>1</v>
      </c>
      <c r="E3446" t="str">
        <f>"4574674200809655"</f>
        <v>4574674200809655</v>
      </c>
      <c r="F3446" t="str">
        <f>"817"</f>
        <v>817</v>
      </c>
      <c r="G3446">
        <v>1</v>
      </c>
      <c r="H3446">
        <v>2023</v>
      </c>
      <c r="I3446" t="s">
        <v>3561</v>
      </c>
    </row>
    <row r="3447" spans="1:9" x14ac:dyDescent="0.3">
      <c r="A3447" t="s">
        <v>10157</v>
      </c>
      <c r="B3447" t="s">
        <v>64</v>
      </c>
      <c r="C3447">
        <v>8989697390</v>
      </c>
      <c r="D3447" s="2">
        <v>1</v>
      </c>
      <c r="E3447" t="str">
        <f>"4574674200809333"</f>
        <v>4574674200809333</v>
      </c>
      <c r="F3447" t="str">
        <f>"868"</f>
        <v>868</v>
      </c>
      <c r="G3447">
        <v>1</v>
      </c>
      <c r="H3447">
        <v>2023</v>
      </c>
      <c r="I3447" t="s">
        <v>3562</v>
      </c>
    </row>
    <row r="3448" spans="1:9" x14ac:dyDescent="0.3">
      <c r="A3448" t="s">
        <v>10157</v>
      </c>
      <c r="B3448" t="s">
        <v>64</v>
      </c>
      <c r="C3448">
        <v>8989697390</v>
      </c>
      <c r="D3448" s="2">
        <v>1</v>
      </c>
      <c r="E3448" t="str">
        <f>"4574674200809325"</f>
        <v>4574674200809325</v>
      </c>
      <c r="F3448" t="str">
        <f>"239"</f>
        <v>239</v>
      </c>
      <c r="G3448">
        <v>1</v>
      </c>
      <c r="H3448">
        <v>2023</v>
      </c>
      <c r="I3448" t="s">
        <v>3563</v>
      </c>
    </row>
    <row r="3449" spans="1:9" x14ac:dyDescent="0.3">
      <c r="A3449" t="s">
        <v>10157</v>
      </c>
      <c r="B3449" t="s">
        <v>64</v>
      </c>
      <c r="C3449">
        <v>8989697390</v>
      </c>
      <c r="D3449" s="2">
        <v>1</v>
      </c>
      <c r="E3449" t="str">
        <f>"4574674200809788"</f>
        <v>4574674200809788</v>
      </c>
      <c r="F3449" t="str">
        <f>"772"</f>
        <v>772</v>
      </c>
      <c r="G3449">
        <v>1</v>
      </c>
      <c r="H3449">
        <v>2023</v>
      </c>
      <c r="I3449" t="s">
        <v>3564</v>
      </c>
    </row>
    <row r="3450" spans="1:9" x14ac:dyDescent="0.3">
      <c r="A3450" t="s">
        <v>10158</v>
      </c>
      <c r="B3450" t="s">
        <v>65</v>
      </c>
      <c r="C3450">
        <v>8989697390</v>
      </c>
      <c r="D3450" s="2">
        <v>1</v>
      </c>
      <c r="E3450" t="str">
        <f>"4574674200809770"</f>
        <v>4574674200809770</v>
      </c>
      <c r="F3450" t="str">
        <f>"111"</f>
        <v>111</v>
      </c>
      <c r="G3450">
        <v>1</v>
      </c>
      <c r="H3450">
        <v>2023</v>
      </c>
      <c r="I3450" t="s">
        <v>3565</v>
      </c>
    </row>
    <row r="3451" spans="1:9" x14ac:dyDescent="0.3">
      <c r="A3451" t="s">
        <v>10158</v>
      </c>
      <c r="B3451" t="s">
        <v>65</v>
      </c>
      <c r="C3451">
        <v>8989697390</v>
      </c>
      <c r="D3451" s="2">
        <v>1</v>
      </c>
      <c r="E3451" t="str">
        <f>"4574674200809812"</f>
        <v>4574674200809812</v>
      </c>
      <c r="F3451" t="str">
        <f>"201"</f>
        <v>201</v>
      </c>
      <c r="G3451">
        <v>1</v>
      </c>
      <c r="H3451">
        <v>2023</v>
      </c>
      <c r="I3451" t="s">
        <v>3566</v>
      </c>
    </row>
    <row r="3452" spans="1:9" x14ac:dyDescent="0.3">
      <c r="A3452" t="s">
        <v>10158</v>
      </c>
      <c r="B3452" t="s">
        <v>65</v>
      </c>
      <c r="C3452">
        <v>8989697390</v>
      </c>
      <c r="D3452" s="2">
        <v>1</v>
      </c>
      <c r="E3452" t="str">
        <f>"4574674200809820"</f>
        <v>4574674200809820</v>
      </c>
      <c r="F3452" t="str">
        <f>"051"</f>
        <v>051</v>
      </c>
      <c r="G3452">
        <v>1</v>
      </c>
      <c r="H3452">
        <v>2023</v>
      </c>
      <c r="I3452" t="s">
        <v>3567</v>
      </c>
    </row>
    <row r="3453" spans="1:9" x14ac:dyDescent="0.3">
      <c r="A3453" t="s">
        <v>10158</v>
      </c>
      <c r="B3453" t="s">
        <v>65</v>
      </c>
      <c r="C3453">
        <v>8989697390</v>
      </c>
      <c r="D3453" s="2">
        <v>1</v>
      </c>
      <c r="E3453" t="str">
        <f>"4574674200809846"</f>
        <v>4574674200809846</v>
      </c>
      <c r="F3453" t="str">
        <f>"476"</f>
        <v>476</v>
      </c>
      <c r="G3453">
        <v>1</v>
      </c>
      <c r="H3453">
        <v>2023</v>
      </c>
      <c r="I3453" t="s">
        <v>3568</v>
      </c>
    </row>
    <row r="3454" spans="1:9" x14ac:dyDescent="0.3">
      <c r="A3454" t="s">
        <v>10158</v>
      </c>
      <c r="B3454" t="s">
        <v>65</v>
      </c>
      <c r="C3454">
        <v>8989697390</v>
      </c>
      <c r="D3454" s="2">
        <v>1</v>
      </c>
      <c r="E3454" t="str">
        <f>"4574674200809895"</f>
        <v>4574674200809895</v>
      </c>
      <c r="F3454" t="str">
        <f>"346"</f>
        <v>346</v>
      </c>
      <c r="G3454">
        <v>1</v>
      </c>
      <c r="H3454">
        <v>2023</v>
      </c>
      <c r="I3454" t="s">
        <v>3569</v>
      </c>
    </row>
    <row r="3455" spans="1:9" x14ac:dyDescent="0.3">
      <c r="A3455" t="s">
        <v>10158</v>
      </c>
      <c r="B3455" t="s">
        <v>65</v>
      </c>
      <c r="C3455">
        <v>8989697390</v>
      </c>
      <c r="D3455" s="2">
        <v>1</v>
      </c>
      <c r="E3455" t="str">
        <f>"4574674200810034"</f>
        <v>4574674200810034</v>
      </c>
      <c r="F3455" t="str">
        <f>"339"</f>
        <v>339</v>
      </c>
      <c r="G3455">
        <v>1</v>
      </c>
      <c r="H3455">
        <v>2023</v>
      </c>
      <c r="I3455" t="s">
        <v>3570</v>
      </c>
    </row>
    <row r="3456" spans="1:9" x14ac:dyDescent="0.3">
      <c r="A3456" t="s">
        <v>10158</v>
      </c>
      <c r="B3456" t="s">
        <v>65</v>
      </c>
      <c r="C3456">
        <v>8989697390</v>
      </c>
      <c r="D3456" s="2">
        <v>1</v>
      </c>
      <c r="E3456" t="str">
        <f>"4574674200809945"</f>
        <v>4574674200809945</v>
      </c>
      <c r="F3456" t="str">
        <f>"086"</f>
        <v>086</v>
      </c>
      <c r="G3456">
        <v>1</v>
      </c>
      <c r="H3456">
        <v>2023</v>
      </c>
      <c r="I3456" t="s">
        <v>3571</v>
      </c>
    </row>
    <row r="3457" spans="1:9" x14ac:dyDescent="0.3">
      <c r="A3457" t="s">
        <v>10158</v>
      </c>
      <c r="B3457" t="s">
        <v>65</v>
      </c>
      <c r="C3457">
        <v>8989697390</v>
      </c>
      <c r="D3457" s="2">
        <v>1</v>
      </c>
      <c r="E3457" t="str">
        <f>"4574674200810067"</f>
        <v>4574674200810067</v>
      </c>
      <c r="F3457" t="str">
        <f>"661"</f>
        <v>661</v>
      </c>
      <c r="G3457">
        <v>1</v>
      </c>
      <c r="H3457">
        <v>2023</v>
      </c>
      <c r="I3457" t="s">
        <v>3572</v>
      </c>
    </row>
    <row r="3458" spans="1:9" x14ac:dyDescent="0.3">
      <c r="A3458" t="s">
        <v>10158</v>
      </c>
      <c r="B3458" t="s">
        <v>65</v>
      </c>
      <c r="C3458">
        <v>8989697390</v>
      </c>
      <c r="D3458" s="2">
        <v>1</v>
      </c>
      <c r="E3458" t="str">
        <f>"4574674200809960"</f>
        <v>4574674200809960</v>
      </c>
      <c r="F3458" t="str">
        <f>"487"</f>
        <v>487</v>
      </c>
      <c r="G3458">
        <v>1</v>
      </c>
      <c r="H3458">
        <v>2023</v>
      </c>
      <c r="I3458" t="s">
        <v>3573</v>
      </c>
    </row>
    <row r="3459" spans="1:9" x14ac:dyDescent="0.3">
      <c r="A3459" t="s">
        <v>10158</v>
      </c>
      <c r="B3459" t="s">
        <v>65</v>
      </c>
      <c r="C3459">
        <v>8989697390</v>
      </c>
      <c r="D3459" s="2">
        <v>1</v>
      </c>
      <c r="E3459" t="str">
        <f>"4574674200809994"</f>
        <v>4574674200809994</v>
      </c>
      <c r="F3459" t="str">
        <f>"944"</f>
        <v>944</v>
      </c>
      <c r="G3459">
        <v>1</v>
      </c>
      <c r="H3459">
        <v>2023</v>
      </c>
      <c r="I3459" t="s">
        <v>3574</v>
      </c>
    </row>
    <row r="3460" spans="1:9" x14ac:dyDescent="0.3">
      <c r="A3460" t="s">
        <v>10159</v>
      </c>
      <c r="B3460" t="s">
        <v>66</v>
      </c>
      <c r="C3460">
        <v>8989697390</v>
      </c>
      <c r="D3460" s="2">
        <v>1</v>
      </c>
      <c r="E3460" t="str">
        <f>"4574674200810240"</f>
        <v>4574674200810240</v>
      </c>
      <c r="F3460" t="str">
        <f>"165"</f>
        <v>165</v>
      </c>
      <c r="G3460">
        <v>1</v>
      </c>
      <c r="H3460">
        <v>2023</v>
      </c>
      <c r="I3460" t="s">
        <v>3575</v>
      </c>
    </row>
    <row r="3461" spans="1:9" x14ac:dyDescent="0.3">
      <c r="A3461" t="s">
        <v>10159</v>
      </c>
      <c r="B3461" t="s">
        <v>66</v>
      </c>
      <c r="C3461">
        <v>8989697390</v>
      </c>
      <c r="D3461" s="2">
        <v>1</v>
      </c>
      <c r="E3461" t="str">
        <f>"4574674200810273"</f>
        <v>4574674200810273</v>
      </c>
      <c r="F3461" t="str">
        <f>"263"</f>
        <v>263</v>
      </c>
      <c r="G3461">
        <v>1</v>
      </c>
      <c r="H3461">
        <v>2023</v>
      </c>
      <c r="I3461" t="s">
        <v>3576</v>
      </c>
    </row>
    <row r="3462" spans="1:9" x14ac:dyDescent="0.3">
      <c r="A3462" t="s">
        <v>10159</v>
      </c>
      <c r="B3462" t="s">
        <v>66</v>
      </c>
      <c r="C3462">
        <v>8989697390</v>
      </c>
      <c r="D3462" s="2">
        <v>1</v>
      </c>
      <c r="E3462" t="str">
        <f>"4574674200810307"</f>
        <v>4574674200810307</v>
      </c>
      <c r="F3462" t="str">
        <f>"586"</f>
        <v>586</v>
      </c>
      <c r="G3462">
        <v>1</v>
      </c>
      <c r="H3462">
        <v>2023</v>
      </c>
      <c r="I3462" t="s">
        <v>3577</v>
      </c>
    </row>
    <row r="3463" spans="1:9" x14ac:dyDescent="0.3">
      <c r="A3463" t="s">
        <v>10159</v>
      </c>
      <c r="B3463" t="s">
        <v>66</v>
      </c>
      <c r="C3463">
        <v>8989697390</v>
      </c>
      <c r="D3463" s="2">
        <v>1</v>
      </c>
      <c r="E3463" t="str">
        <f>"4574674200810315"</f>
        <v>4574674200810315</v>
      </c>
      <c r="F3463" t="str">
        <f>"539"</f>
        <v>539</v>
      </c>
      <c r="G3463">
        <v>1</v>
      </c>
      <c r="H3463">
        <v>2023</v>
      </c>
      <c r="I3463" t="s">
        <v>3578</v>
      </c>
    </row>
    <row r="3464" spans="1:9" x14ac:dyDescent="0.3">
      <c r="A3464" t="s">
        <v>10159</v>
      </c>
      <c r="B3464" t="s">
        <v>66</v>
      </c>
      <c r="C3464">
        <v>8989697390</v>
      </c>
      <c r="D3464" s="2">
        <v>1</v>
      </c>
      <c r="E3464" t="str">
        <f>"4574674200810331"</f>
        <v>4574674200810331</v>
      </c>
      <c r="F3464" t="str">
        <f>"706"</f>
        <v>706</v>
      </c>
      <c r="G3464">
        <v>1</v>
      </c>
      <c r="H3464">
        <v>2023</v>
      </c>
      <c r="I3464" t="s">
        <v>3579</v>
      </c>
    </row>
    <row r="3465" spans="1:9" x14ac:dyDescent="0.3">
      <c r="A3465" t="s">
        <v>10159</v>
      </c>
      <c r="B3465" t="s">
        <v>66</v>
      </c>
      <c r="C3465">
        <v>8989697390</v>
      </c>
      <c r="D3465" s="2">
        <v>1</v>
      </c>
      <c r="E3465" t="str">
        <f>"4574674200810125"</f>
        <v>4574674200810125</v>
      </c>
      <c r="F3465" t="str">
        <f>"403"</f>
        <v>403</v>
      </c>
      <c r="G3465">
        <v>1</v>
      </c>
      <c r="H3465">
        <v>2023</v>
      </c>
      <c r="I3465" t="s">
        <v>3580</v>
      </c>
    </row>
    <row r="3466" spans="1:9" x14ac:dyDescent="0.3">
      <c r="A3466" t="s">
        <v>10159</v>
      </c>
      <c r="B3466" t="s">
        <v>66</v>
      </c>
      <c r="C3466">
        <v>8989697390</v>
      </c>
      <c r="D3466" s="2">
        <v>1</v>
      </c>
      <c r="E3466" t="str">
        <f>"4574674200810398"</f>
        <v>4574674200810398</v>
      </c>
      <c r="F3466" t="str">
        <f>"500"</f>
        <v>500</v>
      </c>
      <c r="G3466">
        <v>1</v>
      </c>
      <c r="H3466">
        <v>2023</v>
      </c>
      <c r="I3466" t="s">
        <v>3581</v>
      </c>
    </row>
    <row r="3467" spans="1:9" x14ac:dyDescent="0.3">
      <c r="A3467" t="s">
        <v>10159</v>
      </c>
      <c r="B3467" t="s">
        <v>66</v>
      </c>
      <c r="C3467">
        <v>8989697390</v>
      </c>
      <c r="D3467" s="2">
        <v>1</v>
      </c>
      <c r="E3467" t="str">
        <f>"4574674200810406"</f>
        <v>4574674200810406</v>
      </c>
      <c r="F3467" t="str">
        <f>"127"</f>
        <v>127</v>
      </c>
      <c r="G3467">
        <v>1</v>
      </c>
      <c r="H3467">
        <v>2023</v>
      </c>
      <c r="I3467" t="s">
        <v>3582</v>
      </c>
    </row>
    <row r="3468" spans="1:9" x14ac:dyDescent="0.3">
      <c r="A3468" t="s">
        <v>10159</v>
      </c>
      <c r="B3468" t="s">
        <v>66</v>
      </c>
      <c r="C3468">
        <v>8989697390</v>
      </c>
      <c r="D3468" s="2">
        <v>1</v>
      </c>
      <c r="E3468" t="str">
        <f>"4574674200810158"</f>
        <v>4574674200810158</v>
      </c>
      <c r="F3468" t="str">
        <f>"367"</f>
        <v>367</v>
      </c>
      <c r="G3468">
        <v>1</v>
      </c>
      <c r="H3468">
        <v>2023</v>
      </c>
      <c r="I3468" t="s">
        <v>3583</v>
      </c>
    </row>
    <row r="3469" spans="1:9" x14ac:dyDescent="0.3">
      <c r="A3469" t="s">
        <v>10159</v>
      </c>
      <c r="B3469" t="s">
        <v>66</v>
      </c>
      <c r="C3469">
        <v>8989697390</v>
      </c>
      <c r="D3469" s="2">
        <v>1</v>
      </c>
      <c r="E3469" t="str">
        <f>"4574674200810471"</f>
        <v>4574674200810471</v>
      </c>
      <c r="F3469" t="str">
        <f>"908"</f>
        <v>908</v>
      </c>
      <c r="G3469">
        <v>1</v>
      </c>
      <c r="H3469">
        <v>2023</v>
      </c>
      <c r="I3469" t="s">
        <v>3584</v>
      </c>
    </row>
    <row r="3470" spans="1:9" x14ac:dyDescent="0.3">
      <c r="A3470" t="s">
        <v>10130</v>
      </c>
      <c r="B3470" t="s">
        <v>67</v>
      </c>
      <c r="C3470">
        <v>8989697390</v>
      </c>
      <c r="D3470" s="2">
        <v>1</v>
      </c>
      <c r="E3470" t="str">
        <f>"4574674200810463"</f>
        <v>4574674200810463</v>
      </c>
      <c r="F3470" t="str">
        <f>"540"</f>
        <v>540</v>
      </c>
      <c r="G3470">
        <v>1</v>
      </c>
      <c r="H3470">
        <v>2023</v>
      </c>
      <c r="I3470" t="s">
        <v>3585</v>
      </c>
    </row>
    <row r="3471" spans="1:9" x14ac:dyDescent="0.3">
      <c r="A3471" t="s">
        <v>10130</v>
      </c>
      <c r="B3471" t="s">
        <v>67</v>
      </c>
      <c r="C3471">
        <v>8989697390</v>
      </c>
      <c r="D3471" s="2">
        <v>1</v>
      </c>
      <c r="E3471" t="str">
        <f>"4574674200810497"</f>
        <v>4574674200810497</v>
      </c>
      <c r="F3471" t="str">
        <f>"167"</f>
        <v>167</v>
      </c>
      <c r="G3471">
        <v>1</v>
      </c>
      <c r="H3471">
        <v>2023</v>
      </c>
      <c r="I3471" t="s">
        <v>3586</v>
      </c>
    </row>
    <row r="3472" spans="1:9" x14ac:dyDescent="0.3">
      <c r="A3472" t="s">
        <v>10130</v>
      </c>
      <c r="B3472" t="s">
        <v>67</v>
      </c>
      <c r="C3472">
        <v>8989697390</v>
      </c>
      <c r="D3472" s="2">
        <v>1</v>
      </c>
      <c r="E3472" t="str">
        <f>"4574674200810554"</f>
        <v>4574674200810554</v>
      </c>
      <c r="F3472" t="str">
        <f>"476"</f>
        <v>476</v>
      </c>
      <c r="G3472">
        <v>1</v>
      </c>
      <c r="H3472">
        <v>2023</v>
      </c>
      <c r="I3472" t="s">
        <v>3587</v>
      </c>
    </row>
    <row r="3473" spans="1:9" x14ac:dyDescent="0.3">
      <c r="A3473" t="s">
        <v>10130</v>
      </c>
      <c r="B3473" t="s">
        <v>67</v>
      </c>
      <c r="C3473">
        <v>8989697390</v>
      </c>
      <c r="D3473" s="2">
        <v>1</v>
      </c>
      <c r="E3473" t="str">
        <f>"4574674200810562"</f>
        <v>4574674200810562</v>
      </c>
      <c r="F3473" t="str">
        <f>"613"</f>
        <v>613</v>
      </c>
      <c r="G3473">
        <v>1</v>
      </c>
      <c r="H3473">
        <v>2023</v>
      </c>
      <c r="I3473" t="s">
        <v>3588</v>
      </c>
    </row>
    <row r="3474" spans="1:9" x14ac:dyDescent="0.3">
      <c r="A3474" t="s">
        <v>10130</v>
      </c>
      <c r="B3474" t="s">
        <v>67</v>
      </c>
      <c r="C3474">
        <v>8989697390</v>
      </c>
      <c r="D3474" s="2">
        <v>1</v>
      </c>
      <c r="E3474" t="str">
        <f>"4574674200810596"</f>
        <v>4574674200810596</v>
      </c>
      <c r="F3474" t="str">
        <f>"425"</f>
        <v>425</v>
      </c>
      <c r="G3474">
        <v>1</v>
      </c>
      <c r="H3474">
        <v>2023</v>
      </c>
      <c r="I3474" t="s">
        <v>3589</v>
      </c>
    </row>
    <row r="3475" spans="1:9" x14ac:dyDescent="0.3">
      <c r="A3475" t="s">
        <v>10130</v>
      </c>
      <c r="B3475" t="s">
        <v>67</v>
      </c>
      <c r="C3475">
        <v>8989697390</v>
      </c>
      <c r="D3475" s="2">
        <v>1</v>
      </c>
      <c r="E3475" t="str">
        <f>"4574674200810802"</f>
        <v>4574674200810802</v>
      </c>
      <c r="F3475" t="str">
        <f>"801"</f>
        <v>801</v>
      </c>
      <c r="G3475">
        <v>1</v>
      </c>
      <c r="H3475">
        <v>2023</v>
      </c>
      <c r="I3475" t="s">
        <v>3590</v>
      </c>
    </row>
    <row r="3476" spans="1:9" x14ac:dyDescent="0.3">
      <c r="A3476" t="s">
        <v>10130</v>
      </c>
      <c r="B3476" t="s">
        <v>67</v>
      </c>
      <c r="C3476">
        <v>8989697390</v>
      </c>
      <c r="D3476" s="2">
        <v>1</v>
      </c>
      <c r="E3476" t="str">
        <f>"4574674200810653"</f>
        <v>4574674200810653</v>
      </c>
      <c r="F3476" t="str">
        <f>"886"</f>
        <v>886</v>
      </c>
      <c r="G3476">
        <v>1</v>
      </c>
      <c r="H3476">
        <v>2023</v>
      </c>
      <c r="I3476" t="s">
        <v>3591</v>
      </c>
    </row>
    <row r="3477" spans="1:9" x14ac:dyDescent="0.3">
      <c r="A3477" t="s">
        <v>10130</v>
      </c>
      <c r="B3477" t="s">
        <v>67</v>
      </c>
      <c r="C3477">
        <v>8989697390</v>
      </c>
      <c r="D3477" s="2">
        <v>1</v>
      </c>
      <c r="E3477" t="str">
        <f>"4574674200810851"</f>
        <v>4574674200810851</v>
      </c>
      <c r="F3477" t="str">
        <f>"028"</f>
        <v>028</v>
      </c>
      <c r="G3477">
        <v>1</v>
      </c>
      <c r="H3477">
        <v>2023</v>
      </c>
      <c r="I3477" t="s">
        <v>3592</v>
      </c>
    </row>
    <row r="3478" spans="1:9" x14ac:dyDescent="0.3">
      <c r="A3478" t="s">
        <v>10130</v>
      </c>
      <c r="B3478" t="s">
        <v>67</v>
      </c>
      <c r="C3478">
        <v>8989697390</v>
      </c>
      <c r="D3478" s="2">
        <v>1</v>
      </c>
      <c r="E3478" t="str">
        <f>"4574674200810695"</f>
        <v>4574674200810695</v>
      </c>
      <c r="F3478" t="str">
        <f>"552"</f>
        <v>552</v>
      </c>
      <c r="G3478">
        <v>1</v>
      </c>
      <c r="H3478">
        <v>2023</v>
      </c>
      <c r="I3478" t="s">
        <v>3593</v>
      </c>
    </row>
    <row r="3479" spans="1:9" x14ac:dyDescent="0.3">
      <c r="A3479" t="s">
        <v>10130</v>
      </c>
      <c r="B3479" t="s">
        <v>67</v>
      </c>
      <c r="C3479">
        <v>8989697390</v>
      </c>
      <c r="D3479" s="2">
        <v>1</v>
      </c>
      <c r="E3479" t="str">
        <f>"4574674200810893"</f>
        <v>4574674200810893</v>
      </c>
      <c r="F3479" t="str">
        <f>"638"</f>
        <v>638</v>
      </c>
      <c r="G3479">
        <v>1</v>
      </c>
      <c r="H3479">
        <v>2023</v>
      </c>
      <c r="I3479" t="s">
        <v>3594</v>
      </c>
    </row>
    <row r="3480" spans="1:9" x14ac:dyDescent="0.3">
      <c r="A3480" t="s">
        <v>10132</v>
      </c>
      <c r="B3480" t="s">
        <v>68</v>
      </c>
      <c r="C3480">
        <v>8989697390</v>
      </c>
      <c r="D3480" s="2">
        <v>1</v>
      </c>
      <c r="E3480" t="str">
        <f>"4574674200810943"</f>
        <v>4574674200810943</v>
      </c>
      <c r="F3480" t="str">
        <f>"199"</f>
        <v>199</v>
      </c>
      <c r="G3480">
        <v>1</v>
      </c>
      <c r="H3480">
        <v>2023</v>
      </c>
      <c r="I3480" t="s">
        <v>3595</v>
      </c>
    </row>
    <row r="3481" spans="1:9" x14ac:dyDescent="0.3">
      <c r="A3481" t="s">
        <v>10132</v>
      </c>
      <c r="B3481" t="s">
        <v>68</v>
      </c>
      <c r="C3481">
        <v>8989697390</v>
      </c>
      <c r="D3481" s="2">
        <v>1</v>
      </c>
      <c r="E3481" t="str">
        <f>"4574674200810935"</f>
        <v>4574674200810935</v>
      </c>
      <c r="F3481" t="str">
        <f>"665"</f>
        <v>665</v>
      </c>
      <c r="G3481">
        <v>1</v>
      </c>
      <c r="H3481">
        <v>2023</v>
      </c>
      <c r="I3481" t="s">
        <v>3596</v>
      </c>
    </row>
    <row r="3482" spans="1:9" x14ac:dyDescent="0.3">
      <c r="A3482" t="s">
        <v>10132</v>
      </c>
      <c r="B3482" t="s">
        <v>68</v>
      </c>
      <c r="C3482">
        <v>8989697390</v>
      </c>
      <c r="D3482" s="2">
        <v>1</v>
      </c>
      <c r="E3482" t="str">
        <f>"4574674200810976"</f>
        <v>4574674200810976</v>
      </c>
      <c r="F3482" t="str">
        <f>"276"</f>
        <v>276</v>
      </c>
      <c r="G3482">
        <v>1</v>
      </c>
      <c r="H3482">
        <v>2023</v>
      </c>
      <c r="I3482" t="s">
        <v>3597</v>
      </c>
    </row>
    <row r="3483" spans="1:9" x14ac:dyDescent="0.3">
      <c r="A3483" t="s">
        <v>10132</v>
      </c>
      <c r="B3483" t="s">
        <v>68</v>
      </c>
      <c r="C3483">
        <v>8989697390</v>
      </c>
      <c r="D3483" s="2">
        <v>1</v>
      </c>
      <c r="E3483" t="str">
        <f>"4574674200811016"</f>
        <v>4574674200811016</v>
      </c>
      <c r="F3483" t="str">
        <f>"767"</f>
        <v>767</v>
      </c>
      <c r="G3483">
        <v>1</v>
      </c>
      <c r="H3483">
        <v>2023</v>
      </c>
      <c r="I3483" t="s">
        <v>3598</v>
      </c>
    </row>
    <row r="3484" spans="1:9" x14ac:dyDescent="0.3">
      <c r="A3484" t="s">
        <v>10132</v>
      </c>
      <c r="B3484" t="s">
        <v>68</v>
      </c>
      <c r="C3484">
        <v>8989697390</v>
      </c>
      <c r="D3484" s="2">
        <v>1</v>
      </c>
      <c r="E3484" t="str">
        <f>"4574674200811081"</f>
        <v>4574674200811081</v>
      </c>
      <c r="F3484" t="str">
        <f>"103"</f>
        <v>103</v>
      </c>
      <c r="G3484">
        <v>1</v>
      </c>
      <c r="H3484">
        <v>2023</v>
      </c>
      <c r="I3484" t="s">
        <v>3599</v>
      </c>
    </row>
    <row r="3485" spans="1:9" x14ac:dyDescent="0.3">
      <c r="A3485" t="s">
        <v>10132</v>
      </c>
      <c r="B3485" t="s">
        <v>68</v>
      </c>
      <c r="C3485">
        <v>8989697390</v>
      </c>
      <c r="D3485" s="2">
        <v>1</v>
      </c>
      <c r="E3485" t="str">
        <f>"4574674200811107"</f>
        <v>4574674200811107</v>
      </c>
      <c r="F3485" t="str">
        <f>"459"</f>
        <v>459</v>
      </c>
      <c r="G3485">
        <v>1</v>
      </c>
      <c r="H3485">
        <v>2023</v>
      </c>
      <c r="I3485" t="s">
        <v>3600</v>
      </c>
    </row>
    <row r="3486" spans="1:9" x14ac:dyDescent="0.3">
      <c r="A3486" t="s">
        <v>10132</v>
      </c>
      <c r="B3486" t="s">
        <v>68</v>
      </c>
      <c r="C3486">
        <v>8989697390</v>
      </c>
      <c r="D3486" s="2">
        <v>1</v>
      </c>
      <c r="E3486" t="str">
        <f>"4574674200811131"</f>
        <v>4574674200811131</v>
      </c>
      <c r="F3486" t="str">
        <f>"858"</f>
        <v>858</v>
      </c>
      <c r="G3486">
        <v>1</v>
      </c>
      <c r="H3486">
        <v>2023</v>
      </c>
      <c r="I3486" t="s">
        <v>3601</v>
      </c>
    </row>
    <row r="3487" spans="1:9" x14ac:dyDescent="0.3">
      <c r="A3487" t="s">
        <v>10132</v>
      </c>
      <c r="B3487" t="s">
        <v>68</v>
      </c>
      <c r="C3487">
        <v>8989697390</v>
      </c>
      <c r="D3487" s="2">
        <v>1</v>
      </c>
      <c r="E3487" t="str">
        <f>"4574674200811172"</f>
        <v>4574674200811172</v>
      </c>
      <c r="F3487" t="str">
        <f>"137"</f>
        <v>137</v>
      </c>
      <c r="G3487">
        <v>1</v>
      </c>
      <c r="H3487">
        <v>2023</v>
      </c>
      <c r="I3487" t="s">
        <v>3602</v>
      </c>
    </row>
    <row r="3488" spans="1:9" x14ac:dyDescent="0.3">
      <c r="A3488" t="s">
        <v>10132</v>
      </c>
      <c r="B3488" t="s">
        <v>68</v>
      </c>
      <c r="C3488">
        <v>8989697390</v>
      </c>
      <c r="D3488" s="2">
        <v>1</v>
      </c>
      <c r="E3488" t="str">
        <f>"4574674200811438"</f>
        <v>4574674200811438</v>
      </c>
      <c r="F3488" t="str">
        <f>"999"</f>
        <v>999</v>
      </c>
      <c r="G3488">
        <v>1</v>
      </c>
      <c r="H3488">
        <v>2023</v>
      </c>
      <c r="I3488" t="s">
        <v>3603</v>
      </c>
    </row>
    <row r="3489" spans="1:9" x14ac:dyDescent="0.3">
      <c r="A3489" t="s">
        <v>10132</v>
      </c>
      <c r="B3489" t="s">
        <v>68</v>
      </c>
      <c r="C3489">
        <v>8989697390</v>
      </c>
      <c r="D3489" s="2">
        <v>1</v>
      </c>
      <c r="E3489" t="str">
        <f>"4574674200811453"</f>
        <v>4574674200811453</v>
      </c>
      <c r="F3489" t="str">
        <f>"126"</f>
        <v>126</v>
      </c>
      <c r="G3489">
        <v>1</v>
      </c>
      <c r="H3489">
        <v>2023</v>
      </c>
      <c r="I3489" t="s">
        <v>3604</v>
      </c>
    </row>
    <row r="3490" spans="1:9" x14ac:dyDescent="0.3">
      <c r="A3490" t="s">
        <v>10168</v>
      </c>
      <c r="B3490" t="s">
        <v>69</v>
      </c>
      <c r="C3490">
        <v>8989697390</v>
      </c>
      <c r="D3490" s="2">
        <v>1</v>
      </c>
      <c r="E3490" t="str">
        <f>"4574674200811461"</f>
        <v>4574674200811461</v>
      </c>
      <c r="F3490" t="str">
        <f>"237"</f>
        <v>237</v>
      </c>
      <c r="G3490">
        <v>1</v>
      </c>
      <c r="H3490">
        <v>2023</v>
      </c>
      <c r="I3490" t="s">
        <v>3605</v>
      </c>
    </row>
    <row r="3491" spans="1:9" x14ac:dyDescent="0.3">
      <c r="A3491" t="s">
        <v>10168</v>
      </c>
      <c r="B3491" t="s">
        <v>69</v>
      </c>
      <c r="C3491">
        <v>8989697390</v>
      </c>
      <c r="D3491" s="2">
        <v>1</v>
      </c>
      <c r="E3491" t="str">
        <f>"4574674200811479"</f>
        <v>4574674200811479</v>
      </c>
      <c r="F3491" t="str">
        <f>"278"</f>
        <v>278</v>
      </c>
      <c r="G3491">
        <v>1</v>
      </c>
      <c r="H3491">
        <v>2023</v>
      </c>
      <c r="I3491" t="s">
        <v>3606</v>
      </c>
    </row>
    <row r="3492" spans="1:9" x14ac:dyDescent="0.3">
      <c r="A3492" t="s">
        <v>10168</v>
      </c>
      <c r="B3492" t="s">
        <v>69</v>
      </c>
      <c r="C3492">
        <v>8989697390</v>
      </c>
      <c r="D3492" s="2">
        <v>1</v>
      </c>
      <c r="E3492" t="str">
        <f>"4574674200811495"</f>
        <v>4574674200811495</v>
      </c>
      <c r="F3492" t="str">
        <f>"674"</f>
        <v>674</v>
      </c>
      <c r="G3492">
        <v>1</v>
      </c>
      <c r="H3492">
        <v>2023</v>
      </c>
      <c r="I3492" t="s">
        <v>3607</v>
      </c>
    </row>
    <row r="3493" spans="1:9" x14ac:dyDescent="0.3">
      <c r="A3493" t="s">
        <v>10168</v>
      </c>
      <c r="B3493" t="s">
        <v>69</v>
      </c>
      <c r="C3493">
        <v>8989697390</v>
      </c>
      <c r="D3493" s="2">
        <v>1</v>
      </c>
      <c r="E3493" t="str">
        <f>"4574674200811594"</f>
        <v>4574674200811594</v>
      </c>
      <c r="F3493" t="str">
        <f>"318"</f>
        <v>318</v>
      </c>
      <c r="G3493">
        <v>1</v>
      </c>
      <c r="H3493">
        <v>2023</v>
      </c>
      <c r="I3493" t="s">
        <v>3608</v>
      </c>
    </row>
    <row r="3494" spans="1:9" x14ac:dyDescent="0.3">
      <c r="A3494" t="s">
        <v>10168</v>
      </c>
      <c r="B3494" t="s">
        <v>69</v>
      </c>
      <c r="C3494">
        <v>8989697390</v>
      </c>
      <c r="D3494" s="2">
        <v>1</v>
      </c>
      <c r="E3494" t="str">
        <f>"4574674200811602"</f>
        <v>4574674200811602</v>
      </c>
      <c r="F3494" t="str">
        <f>"267"</f>
        <v>267</v>
      </c>
      <c r="G3494">
        <v>1</v>
      </c>
      <c r="H3494">
        <v>2023</v>
      </c>
      <c r="I3494" t="s">
        <v>3609</v>
      </c>
    </row>
    <row r="3495" spans="1:9" x14ac:dyDescent="0.3">
      <c r="A3495" t="s">
        <v>10168</v>
      </c>
      <c r="B3495" t="s">
        <v>69</v>
      </c>
      <c r="C3495">
        <v>8989697390</v>
      </c>
      <c r="D3495" s="2">
        <v>1</v>
      </c>
      <c r="E3495" t="str">
        <f>"4574674200811610"</f>
        <v>4574674200811610</v>
      </c>
      <c r="F3495" t="str">
        <f>"445"</f>
        <v>445</v>
      </c>
      <c r="G3495">
        <v>1</v>
      </c>
      <c r="H3495">
        <v>2023</v>
      </c>
      <c r="I3495" t="s">
        <v>3610</v>
      </c>
    </row>
    <row r="3496" spans="1:9" x14ac:dyDescent="0.3">
      <c r="A3496" t="s">
        <v>10168</v>
      </c>
      <c r="B3496" t="s">
        <v>69</v>
      </c>
      <c r="C3496">
        <v>8989697390</v>
      </c>
      <c r="D3496" s="2">
        <v>1</v>
      </c>
      <c r="E3496" t="str">
        <f>"4574674200811677"</f>
        <v>4574674200811677</v>
      </c>
      <c r="F3496" t="str">
        <f>"317"</f>
        <v>317</v>
      </c>
      <c r="G3496">
        <v>1</v>
      </c>
      <c r="H3496">
        <v>2023</v>
      </c>
      <c r="I3496" t="s">
        <v>3611</v>
      </c>
    </row>
    <row r="3497" spans="1:9" x14ac:dyDescent="0.3">
      <c r="A3497" t="s">
        <v>10168</v>
      </c>
      <c r="B3497" t="s">
        <v>69</v>
      </c>
      <c r="C3497">
        <v>8989697390</v>
      </c>
      <c r="D3497" s="2">
        <v>1</v>
      </c>
      <c r="E3497" t="str">
        <f>"4574674200811685"</f>
        <v>4574674200811685</v>
      </c>
      <c r="F3497" t="str">
        <f>"123"</f>
        <v>123</v>
      </c>
      <c r="G3497">
        <v>1</v>
      </c>
      <c r="H3497">
        <v>2023</v>
      </c>
      <c r="I3497" t="s">
        <v>3612</v>
      </c>
    </row>
    <row r="3498" spans="1:9" x14ac:dyDescent="0.3">
      <c r="A3498" t="s">
        <v>10168</v>
      </c>
      <c r="B3498" t="s">
        <v>69</v>
      </c>
      <c r="C3498">
        <v>8989697390</v>
      </c>
      <c r="D3498" s="2">
        <v>1</v>
      </c>
      <c r="E3498" t="str">
        <f>"4574674200811768"</f>
        <v>4574674200811768</v>
      </c>
      <c r="F3498" t="str">
        <f>"470"</f>
        <v>470</v>
      </c>
      <c r="G3498">
        <v>1</v>
      </c>
      <c r="H3498">
        <v>2023</v>
      </c>
      <c r="I3498" t="s">
        <v>3613</v>
      </c>
    </row>
    <row r="3499" spans="1:9" x14ac:dyDescent="0.3">
      <c r="A3499" t="s">
        <v>10168</v>
      </c>
      <c r="B3499" t="s">
        <v>69</v>
      </c>
      <c r="C3499">
        <v>8989697390</v>
      </c>
      <c r="D3499" s="2">
        <v>1</v>
      </c>
      <c r="E3499" t="str">
        <f>"4574674200811750"</f>
        <v>4574674200811750</v>
      </c>
      <c r="F3499" t="str">
        <f>"843"</f>
        <v>843</v>
      </c>
      <c r="G3499">
        <v>1</v>
      </c>
      <c r="H3499">
        <v>2023</v>
      </c>
      <c r="I3499" t="s">
        <v>3614</v>
      </c>
    </row>
    <row r="3500" spans="1:9" x14ac:dyDescent="0.3">
      <c r="A3500" t="s">
        <v>10169</v>
      </c>
      <c r="B3500" t="s">
        <v>70</v>
      </c>
      <c r="C3500">
        <v>8989697390</v>
      </c>
      <c r="D3500" s="2">
        <v>1</v>
      </c>
      <c r="E3500" t="str">
        <f>"4574674200811776"</f>
        <v>4574674200811776</v>
      </c>
      <c r="F3500" t="str">
        <f>"212"</f>
        <v>212</v>
      </c>
      <c r="G3500">
        <v>1</v>
      </c>
      <c r="H3500">
        <v>2023</v>
      </c>
      <c r="I3500" t="s">
        <v>3615</v>
      </c>
    </row>
    <row r="3501" spans="1:9" x14ac:dyDescent="0.3">
      <c r="A3501" t="s">
        <v>10169</v>
      </c>
      <c r="B3501" t="s">
        <v>70</v>
      </c>
      <c r="C3501">
        <v>8989697390</v>
      </c>
      <c r="D3501" s="2">
        <v>1</v>
      </c>
      <c r="E3501" t="str">
        <f>"4574674200811834"</f>
        <v>4574674200811834</v>
      </c>
      <c r="F3501" t="str">
        <f>"108"</f>
        <v>108</v>
      </c>
      <c r="G3501">
        <v>1</v>
      </c>
      <c r="H3501">
        <v>2023</v>
      </c>
      <c r="I3501" t="s">
        <v>3616</v>
      </c>
    </row>
    <row r="3502" spans="1:9" x14ac:dyDescent="0.3">
      <c r="A3502" t="s">
        <v>10169</v>
      </c>
      <c r="B3502" t="s">
        <v>70</v>
      </c>
      <c r="C3502">
        <v>8989697390</v>
      </c>
      <c r="D3502" s="2">
        <v>1</v>
      </c>
      <c r="E3502" t="str">
        <f>"4574674200811826"</f>
        <v>4574674200811826</v>
      </c>
      <c r="F3502" t="str">
        <f>"017"</f>
        <v>017</v>
      </c>
      <c r="G3502">
        <v>1</v>
      </c>
      <c r="H3502">
        <v>2023</v>
      </c>
      <c r="I3502" t="s">
        <v>3617</v>
      </c>
    </row>
    <row r="3503" spans="1:9" x14ac:dyDescent="0.3">
      <c r="A3503" t="s">
        <v>10169</v>
      </c>
      <c r="B3503" t="s">
        <v>70</v>
      </c>
      <c r="C3503">
        <v>8989697390</v>
      </c>
      <c r="D3503" s="2">
        <v>1</v>
      </c>
      <c r="E3503" t="str">
        <f>"4574674200812006"</f>
        <v>4574674200812006</v>
      </c>
      <c r="F3503" t="str">
        <f>"050"</f>
        <v>050</v>
      </c>
      <c r="G3503">
        <v>1</v>
      </c>
      <c r="H3503">
        <v>2023</v>
      </c>
      <c r="I3503" t="s">
        <v>3618</v>
      </c>
    </row>
    <row r="3504" spans="1:9" x14ac:dyDescent="0.3">
      <c r="A3504" t="s">
        <v>10169</v>
      </c>
      <c r="B3504" t="s">
        <v>70</v>
      </c>
      <c r="C3504">
        <v>8989697390</v>
      </c>
      <c r="D3504" s="2">
        <v>1</v>
      </c>
      <c r="E3504" t="str">
        <f>"4574674200812022"</f>
        <v>4574674200812022</v>
      </c>
      <c r="F3504" t="str">
        <f>"722"</f>
        <v>722</v>
      </c>
      <c r="G3504">
        <v>1</v>
      </c>
      <c r="H3504">
        <v>2023</v>
      </c>
      <c r="I3504" t="s">
        <v>3619</v>
      </c>
    </row>
    <row r="3505" spans="1:9" x14ac:dyDescent="0.3">
      <c r="A3505" t="s">
        <v>10169</v>
      </c>
      <c r="B3505" t="s">
        <v>70</v>
      </c>
      <c r="C3505">
        <v>8989697390</v>
      </c>
      <c r="D3505" s="2">
        <v>1</v>
      </c>
      <c r="E3505" t="str">
        <f>"4574674200811917"</f>
        <v>4574674200811917</v>
      </c>
      <c r="F3505" t="str">
        <f>"046"</f>
        <v>046</v>
      </c>
      <c r="G3505">
        <v>1</v>
      </c>
      <c r="H3505">
        <v>2023</v>
      </c>
      <c r="I3505" t="s">
        <v>3620</v>
      </c>
    </row>
    <row r="3506" spans="1:9" x14ac:dyDescent="0.3">
      <c r="A3506" t="s">
        <v>10169</v>
      </c>
      <c r="B3506" t="s">
        <v>70</v>
      </c>
      <c r="C3506">
        <v>8989697390</v>
      </c>
      <c r="D3506" s="2">
        <v>1</v>
      </c>
      <c r="E3506" t="str">
        <f>"4574674200811933"</f>
        <v>4574674200811933</v>
      </c>
      <c r="F3506" t="str">
        <f>"622"</f>
        <v>622</v>
      </c>
      <c r="G3506">
        <v>1</v>
      </c>
      <c r="H3506">
        <v>2023</v>
      </c>
      <c r="I3506" t="s">
        <v>3621</v>
      </c>
    </row>
    <row r="3507" spans="1:9" x14ac:dyDescent="0.3">
      <c r="A3507" t="s">
        <v>10169</v>
      </c>
      <c r="B3507" t="s">
        <v>70</v>
      </c>
      <c r="C3507">
        <v>8989697390</v>
      </c>
      <c r="D3507" s="2">
        <v>1</v>
      </c>
      <c r="E3507" t="str">
        <f>"4574674200811925"</f>
        <v>4574674200811925</v>
      </c>
      <c r="F3507" t="str">
        <f>"628"</f>
        <v>628</v>
      </c>
      <c r="G3507">
        <v>1</v>
      </c>
      <c r="H3507">
        <v>2023</v>
      </c>
      <c r="I3507" t="s">
        <v>3622</v>
      </c>
    </row>
    <row r="3508" spans="1:9" x14ac:dyDescent="0.3">
      <c r="A3508" t="s">
        <v>10169</v>
      </c>
      <c r="B3508" t="s">
        <v>70</v>
      </c>
      <c r="C3508">
        <v>8989697390</v>
      </c>
      <c r="D3508" s="2">
        <v>1</v>
      </c>
      <c r="E3508" t="str">
        <f>"4574674200811982"</f>
        <v>4574674200811982</v>
      </c>
      <c r="F3508" t="str">
        <f>"903"</f>
        <v>903</v>
      </c>
      <c r="G3508">
        <v>1</v>
      </c>
      <c r="H3508">
        <v>2023</v>
      </c>
      <c r="I3508" t="s">
        <v>3623</v>
      </c>
    </row>
    <row r="3509" spans="1:9" x14ac:dyDescent="0.3">
      <c r="A3509" t="s">
        <v>10169</v>
      </c>
      <c r="B3509" t="s">
        <v>70</v>
      </c>
      <c r="C3509">
        <v>8989697390</v>
      </c>
      <c r="D3509" s="2">
        <v>1</v>
      </c>
      <c r="E3509" t="str">
        <f>"4574674200811990"</f>
        <v>4574674200811990</v>
      </c>
      <c r="F3509" t="str">
        <f>"098"</f>
        <v>098</v>
      </c>
      <c r="G3509">
        <v>1</v>
      </c>
      <c r="H3509">
        <v>2023</v>
      </c>
      <c r="I3509" t="s">
        <v>3624</v>
      </c>
    </row>
    <row r="3510" spans="1:9" x14ac:dyDescent="0.3">
      <c r="A3510" t="s">
        <v>10128</v>
      </c>
      <c r="B3510" t="s">
        <v>71</v>
      </c>
      <c r="C3510">
        <v>8989697390</v>
      </c>
      <c r="D3510" s="2">
        <v>1</v>
      </c>
      <c r="E3510" t="str">
        <f>"4574674200812238"</f>
        <v>4574674200812238</v>
      </c>
      <c r="F3510" t="str">
        <f>"088"</f>
        <v>088</v>
      </c>
      <c r="G3510">
        <v>1</v>
      </c>
      <c r="H3510">
        <v>2023</v>
      </c>
      <c r="I3510" t="s">
        <v>3625</v>
      </c>
    </row>
    <row r="3511" spans="1:9" x14ac:dyDescent="0.3">
      <c r="A3511" t="s">
        <v>10128</v>
      </c>
      <c r="B3511" t="s">
        <v>71</v>
      </c>
      <c r="C3511">
        <v>8989697390</v>
      </c>
      <c r="D3511" s="2">
        <v>1</v>
      </c>
      <c r="E3511" t="str">
        <f>"4574674200812295"</f>
        <v>4574674200812295</v>
      </c>
      <c r="F3511" t="str">
        <f>"175"</f>
        <v>175</v>
      </c>
      <c r="G3511">
        <v>1</v>
      </c>
      <c r="H3511">
        <v>2023</v>
      </c>
      <c r="I3511" t="s">
        <v>3626</v>
      </c>
    </row>
    <row r="3512" spans="1:9" x14ac:dyDescent="0.3">
      <c r="A3512" t="s">
        <v>10128</v>
      </c>
      <c r="B3512" t="s">
        <v>71</v>
      </c>
      <c r="C3512">
        <v>8989697390</v>
      </c>
      <c r="D3512" s="2">
        <v>1</v>
      </c>
      <c r="E3512" t="str">
        <f>"4574674200812303"</f>
        <v>4574674200812303</v>
      </c>
      <c r="F3512" t="str">
        <f>"538"</f>
        <v>538</v>
      </c>
      <c r="G3512">
        <v>1</v>
      </c>
      <c r="H3512">
        <v>2023</v>
      </c>
      <c r="I3512" t="s">
        <v>3627</v>
      </c>
    </row>
    <row r="3513" spans="1:9" x14ac:dyDescent="0.3">
      <c r="A3513" t="s">
        <v>10128</v>
      </c>
      <c r="B3513" t="s">
        <v>71</v>
      </c>
      <c r="C3513">
        <v>8989697390</v>
      </c>
      <c r="D3513" s="2">
        <v>1</v>
      </c>
      <c r="E3513" t="str">
        <f>"4574674200812329"</f>
        <v>4574674200812329</v>
      </c>
      <c r="F3513" t="str">
        <f>"227"</f>
        <v>227</v>
      </c>
      <c r="G3513">
        <v>1</v>
      </c>
      <c r="H3513">
        <v>2023</v>
      </c>
      <c r="I3513" t="s">
        <v>3628</v>
      </c>
    </row>
    <row r="3514" spans="1:9" x14ac:dyDescent="0.3">
      <c r="A3514" t="s">
        <v>10128</v>
      </c>
      <c r="B3514" t="s">
        <v>71</v>
      </c>
      <c r="C3514">
        <v>8989697390</v>
      </c>
      <c r="D3514" s="2">
        <v>1</v>
      </c>
      <c r="E3514" t="str">
        <f>"4574674200812139"</f>
        <v>4574674200812139</v>
      </c>
      <c r="F3514" t="str">
        <f>"799"</f>
        <v>799</v>
      </c>
      <c r="G3514">
        <v>1</v>
      </c>
      <c r="H3514">
        <v>2023</v>
      </c>
      <c r="I3514" t="s">
        <v>3629</v>
      </c>
    </row>
    <row r="3515" spans="1:9" x14ac:dyDescent="0.3">
      <c r="A3515" t="s">
        <v>10128</v>
      </c>
      <c r="B3515" t="s">
        <v>71</v>
      </c>
      <c r="C3515">
        <v>8989697390</v>
      </c>
      <c r="D3515" s="2">
        <v>1</v>
      </c>
      <c r="E3515" t="str">
        <f>"4574674200812162"</f>
        <v>4574674200812162</v>
      </c>
      <c r="F3515" t="str">
        <f>"786"</f>
        <v>786</v>
      </c>
      <c r="G3515">
        <v>1</v>
      </c>
      <c r="H3515">
        <v>2023</v>
      </c>
      <c r="I3515" t="s">
        <v>3630</v>
      </c>
    </row>
    <row r="3516" spans="1:9" x14ac:dyDescent="0.3">
      <c r="A3516" t="s">
        <v>10128</v>
      </c>
      <c r="B3516" t="s">
        <v>71</v>
      </c>
      <c r="C3516">
        <v>8989697390</v>
      </c>
      <c r="D3516" s="2">
        <v>1</v>
      </c>
      <c r="E3516" t="str">
        <f>"4574674200812352"</f>
        <v>4574674200812352</v>
      </c>
      <c r="F3516" t="str">
        <f>"224"</f>
        <v>224</v>
      </c>
      <c r="G3516">
        <v>1</v>
      </c>
      <c r="H3516">
        <v>2023</v>
      </c>
      <c r="I3516" t="s">
        <v>3631</v>
      </c>
    </row>
    <row r="3517" spans="1:9" x14ac:dyDescent="0.3">
      <c r="A3517" t="s">
        <v>10128</v>
      </c>
      <c r="B3517" t="s">
        <v>71</v>
      </c>
      <c r="C3517">
        <v>8989697390</v>
      </c>
      <c r="D3517" s="2">
        <v>1</v>
      </c>
      <c r="E3517" t="str">
        <f>"4574674200812634"</f>
        <v>4574674200812634</v>
      </c>
      <c r="F3517" t="str">
        <f>"507"</f>
        <v>507</v>
      </c>
      <c r="G3517">
        <v>1</v>
      </c>
      <c r="H3517">
        <v>2023</v>
      </c>
      <c r="I3517" t="s">
        <v>3632</v>
      </c>
    </row>
    <row r="3518" spans="1:9" x14ac:dyDescent="0.3">
      <c r="A3518" t="s">
        <v>10128</v>
      </c>
      <c r="B3518" t="s">
        <v>71</v>
      </c>
      <c r="C3518">
        <v>8989697390</v>
      </c>
      <c r="D3518" s="2">
        <v>1</v>
      </c>
      <c r="E3518" t="str">
        <f>"4574674200812642"</f>
        <v>4574674200812642</v>
      </c>
      <c r="F3518" t="str">
        <f>"903"</f>
        <v>903</v>
      </c>
      <c r="G3518">
        <v>1</v>
      </c>
      <c r="H3518">
        <v>2023</v>
      </c>
      <c r="I3518" t="s">
        <v>3633</v>
      </c>
    </row>
    <row r="3519" spans="1:9" x14ac:dyDescent="0.3">
      <c r="A3519" t="s">
        <v>10128</v>
      </c>
      <c r="B3519" t="s">
        <v>71</v>
      </c>
      <c r="C3519">
        <v>8989697390</v>
      </c>
      <c r="D3519" s="2">
        <v>1</v>
      </c>
      <c r="E3519" t="str">
        <f>"4574674200812675"</f>
        <v>4574674200812675</v>
      </c>
      <c r="F3519" t="str">
        <f>"334"</f>
        <v>334</v>
      </c>
      <c r="G3519">
        <v>1</v>
      </c>
      <c r="H3519">
        <v>2023</v>
      </c>
      <c r="I3519" t="s">
        <v>3634</v>
      </c>
    </row>
    <row r="3520" spans="1:9" x14ac:dyDescent="0.3">
      <c r="A3520" t="s">
        <v>10129</v>
      </c>
      <c r="B3520" t="s">
        <v>72</v>
      </c>
      <c r="C3520">
        <v>8989697390</v>
      </c>
      <c r="D3520" s="2">
        <v>1</v>
      </c>
      <c r="E3520" t="str">
        <f>"4574674200812683"</f>
        <v>4574674200812683</v>
      </c>
      <c r="F3520" t="str">
        <f>"295"</f>
        <v>295</v>
      </c>
      <c r="G3520">
        <v>1</v>
      </c>
      <c r="H3520">
        <v>2023</v>
      </c>
      <c r="I3520" t="s">
        <v>3635</v>
      </c>
    </row>
    <row r="3521" spans="1:9" x14ac:dyDescent="0.3">
      <c r="A3521" t="s">
        <v>10129</v>
      </c>
      <c r="B3521" t="s">
        <v>72</v>
      </c>
      <c r="C3521">
        <v>8989697390</v>
      </c>
      <c r="D3521" s="2">
        <v>1</v>
      </c>
      <c r="E3521" t="str">
        <f>"4574674200812717"</f>
        <v>4574674200812717</v>
      </c>
      <c r="F3521" t="str">
        <f>"260"</f>
        <v>260</v>
      </c>
      <c r="G3521">
        <v>1</v>
      </c>
      <c r="H3521">
        <v>2023</v>
      </c>
      <c r="I3521" t="s">
        <v>3636</v>
      </c>
    </row>
    <row r="3522" spans="1:9" x14ac:dyDescent="0.3">
      <c r="A3522" t="s">
        <v>10129</v>
      </c>
      <c r="B3522" t="s">
        <v>72</v>
      </c>
      <c r="C3522">
        <v>8989697390</v>
      </c>
      <c r="D3522" s="2">
        <v>1</v>
      </c>
      <c r="E3522" t="str">
        <f>"4574674200812451"</f>
        <v>4574674200812451</v>
      </c>
      <c r="F3522" t="str">
        <f>"348"</f>
        <v>348</v>
      </c>
      <c r="G3522">
        <v>1</v>
      </c>
      <c r="H3522">
        <v>2023</v>
      </c>
      <c r="I3522" t="s">
        <v>3637</v>
      </c>
    </row>
    <row r="3523" spans="1:9" x14ac:dyDescent="0.3">
      <c r="A3523" t="s">
        <v>10129</v>
      </c>
      <c r="B3523" t="s">
        <v>72</v>
      </c>
      <c r="C3523">
        <v>8989697390</v>
      </c>
      <c r="D3523" s="2">
        <v>1</v>
      </c>
      <c r="E3523" t="str">
        <f>"4574674200812782"</f>
        <v>4574674200812782</v>
      </c>
      <c r="F3523" t="str">
        <f>"519"</f>
        <v>519</v>
      </c>
      <c r="G3523">
        <v>1</v>
      </c>
      <c r="H3523">
        <v>2023</v>
      </c>
      <c r="I3523" t="s">
        <v>3638</v>
      </c>
    </row>
    <row r="3524" spans="1:9" x14ac:dyDescent="0.3">
      <c r="A3524" t="s">
        <v>10129</v>
      </c>
      <c r="B3524" t="s">
        <v>72</v>
      </c>
      <c r="C3524">
        <v>8989697390</v>
      </c>
      <c r="D3524" s="2">
        <v>1</v>
      </c>
      <c r="E3524" t="str">
        <f>"4574674200812790"</f>
        <v>4574674200812790</v>
      </c>
      <c r="F3524" t="str">
        <f>"602"</f>
        <v>602</v>
      </c>
      <c r="G3524">
        <v>1</v>
      </c>
      <c r="H3524">
        <v>2023</v>
      </c>
      <c r="I3524" t="s">
        <v>3639</v>
      </c>
    </row>
    <row r="3525" spans="1:9" x14ac:dyDescent="0.3">
      <c r="A3525" t="s">
        <v>10129</v>
      </c>
      <c r="B3525" t="s">
        <v>72</v>
      </c>
      <c r="C3525">
        <v>8989697390</v>
      </c>
      <c r="D3525" s="2">
        <v>1</v>
      </c>
      <c r="E3525" t="str">
        <f>"4574674200812816"</f>
        <v>4574674200812816</v>
      </c>
      <c r="F3525" t="str">
        <f>"275"</f>
        <v>275</v>
      </c>
      <c r="G3525">
        <v>1</v>
      </c>
      <c r="H3525">
        <v>2023</v>
      </c>
      <c r="I3525" t="s">
        <v>3640</v>
      </c>
    </row>
    <row r="3526" spans="1:9" x14ac:dyDescent="0.3">
      <c r="A3526" t="s">
        <v>10129</v>
      </c>
      <c r="B3526" t="s">
        <v>72</v>
      </c>
      <c r="C3526">
        <v>8989697390</v>
      </c>
      <c r="D3526" s="2">
        <v>1</v>
      </c>
      <c r="E3526" t="str">
        <f>"4574674200812824"</f>
        <v>4574674200812824</v>
      </c>
      <c r="F3526" t="str">
        <f>"756"</f>
        <v>756</v>
      </c>
      <c r="G3526">
        <v>1</v>
      </c>
      <c r="H3526">
        <v>2023</v>
      </c>
      <c r="I3526" t="s">
        <v>3641</v>
      </c>
    </row>
    <row r="3527" spans="1:9" x14ac:dyDescent="0.3">
      <c r="A3527" t="s">
        <v>10129</v>
      </c>
      <c r="B3527" t="s">
        <v>72</v>
      </c>
      <c r="C3527">
        <v>8989697390</v>
      </c>
      <c r="D3527" s="2">
        <v>1</v>
      </c>
      <c r="E3527" t="str">
        <f>"4574674200812873"</f>
        <v>4574674200812873</v>
      </c>
      <c r="F3527" t="str">
        <f>"635"</f>
        <v>635</v>
      </c>
      <c r="G3527">
        <v>1</v>
      </c>
      <c r="H3527">
        <v>2023</v>
      </c>
      <c r="I3527" t="s">
        <v>3642</v>
      </c>
    </row>
    <row r="3528" spans="1:9" x14ac:dyDescent="0.3">
      <c r="A3528" t="s">
        <v>10129</v>
      </c>
      <c r="B3528" t="s">
        <v>72</v>
      </c>
      <c r="C3528">
        <v>8989697390</v>
      </c>
      <c r="D3528" s="2">
        <v>1</v>
      </c>
      <c r="E3528" t="str">
        <f>"4574674200812485"</f>
        <v>4574674200812485</v>
      </c>
      <c r="F3528" t="str">
        <f>"506"</f>
        <v>506</v>
      </c>
      <c r="G3528">
        <v>1</v>
      </c>
      <c r="H3528">
        <v>2023</v>
      </c>
      <c r="I3528" t="s">
        <v>3643</v>
      </c>
    </row>
    <row r="3529" spans="1:9" x14ac:dyDescent="0.3">
      <c r="A3529" t="s">
        <v>10129</v>
      </c>
      <c r="B3529" t="s">
        <v>72</v>
      </c>
      <c r="C3529">
        <v>8989697390</v>
      </c>
      <c r="D3529" s="2">
        <v>1</v>
      </c>
      <c r="E3529" t="str">
        <f>"4574674200812915"</f>
        <v>4574674200812915</v>
      </c>
      <c r="F3529" t="str">
        <f>"898"</f>
        <v>898</v>
      </c>
      <c r="G3529">
        <v>1</v>
      </c>
      <c r="H3529">
        <v>2023</v>
      </c>
      <c r="I3529" t="s">
        <v>3644</v>
      </c>
    </row>
    <row r="3530" spans="1:9" x14ac:dyDescent="0.3">
      <c r="A3530" t="s">
        <v>10170</v>
      </c>
      <c r="B3530" t="s">
        <v>73</v>
      </c>
      <c r="C3530">
        <v>8989697390</v>
      </c>
      <c r="D3530" s="2">
        <v>1</v>
      </c>
      <c r="E3530" t="str">
        <f>"4574674200812949"</f>
        <v>4574674200812949</v>
      </c>
      <c r="F3530" t="str">
        <f>"683"</f>
        <v>683</v>
      </c>
      <c r="G3530">
        <v>1</v>
      </c>
      <c r="H3530">
        <v>2023</v>
      </c>
      <c r="I3530" t="s">
        <v>3645</v>
      </c>
    </row>
    <row r="3531" spans="1:9" x14ac:dyDescent="0.3">
      <c r="A3531" t="s">
        <v>10170</v>
      </c>
      <c r="B3531" t="s">
        <v>73</v>
      </c>
      <c r="C3531">
        <v>8989697390</v>
      </c>
      <c r="D3531" s="2">
        <v>1</v>
      </c>
      <c r="E3531" t="str">
        <f>"4574674200812972"</f>
        <v>4574674200812972</v>
      </c>
      <c r="F3531" t="str">
        <f>"161"</f>
        <v>161</v>
      </c>
      <c r="G3531">
        <v>1</v>
      </c>
      <c r="H3531">
        <v>2023</v>
      </c>
      <c r="I3531" t="s">
        <v>3646</v>
      </c>
    </row>
    <row r="3532" spans="1:9" x14ac:dyDescent="0.3">
      <c r="A3532" t="s">
        <v>10170</v>
      </c>
      <c r="B3532" t="s">
        <v>73</v>
      </c>
      <c r="C3532">
        <v>8989697390</v>
      </c>
      <c r="D3532" s="2">
        <v>1</v>
      </c>
      <c r="E3532" t="str">
        <f>"4574674200812998"</f>
        <v>4574674200812998</v>
      </c>
      <c r="F3532" t="str">
        <f>"005"</f>
        <v>005</v>
      </c>
      <c r="G3532">
        <v>1</v>
      </c>
      <c r="H3532">
        <v>2023</v>
      </c>
      <c r="I3532" t="s">
        <v>3647</v>
      </c>
    </row>
    <row r="3533" spans="1:9" x14ac:dyDescent="0.3">
      <c r="A3533" t="s">
        <v>10170</v>
      </c>
      <c r="B3533" t="s">
        <v>73</v>
      </c>
      <c r="C3533">
        <v>8989697390</v>
      </c>
      <c r="D3533" s="2">
        <v>1</v>
      </c>
      <c r="E3533" t="str">
        <f>"4574674200813038"</f>
        <v>4574674200813038</v>
      </c>
      <c r="F3533" t="str">
        <f>"375"</f>
        <v>375</v>
      </c>
      <c r="G3533">
        <v>1</v>
      </c>
      <c r="H3533">
        <v>2023</v>
      </c>
      <c r="I3533" t="s">
        <v>3648</v>
      </c>
    </row>
    <row r="3534" spans="1:9" x14ac:dyDescent="0.3">
      <c r="A3534" t="s">
        <v>10170</v>
      </c>
      <c r="B3534" t="s">
        <v>73</v>
      </c>
      <c r="C3534">
        <v>8989697390</v>
      </c>
      <c r="D3534" s="2">
        <v>1</v>
      </c>
      <c r="E3534" t="str">
        <f>"4574674200812568"</f>
        <v>4574674200812568</v>
      </c>
      <c r="F3534" t="str">
        <f>"572"</f>
        <v>572</v>
      </c>
      <c r="G3534">
        <v>1</v>
      </c>
      <c r="H3534">
        <v>2023</v>
      </c>
      <c r="I3534" t="s">
        <v>3649</v>
      </c>
    </row>
    <row r="3535" spans="1:9" x14ac:dyDescent="0.3">
      <c r="A3535" t="s">
        <v>10170</v>
      </c>
      <c r="B3535" t="s">
        <v>73</v>
      </c>
      <c r="C3535">
        <v>8989697390</v>
      </c>
      <c r="D3535" s="2">
        <v>1</v>
      </c>
      <c r="E3535" t="str">
        <f>"4574674200813095"</f>
        <v>4574674200813095</v>
      </c>
      <c r="F3535" t="str">
        <f>"037"</f>
        <v>037</v>
      </c>
      <c r="G3535">
        <v>1</v>
      </c>
      <c r="H3535">
        <v>2023</v>
      </c>
      <c r="I3535" t="s">
        <v>3650</v>
      </c>
    </row>
    <row r="3536" spans="1:9" x14ac:dyDescent="0.3">
      <c r="A3536" t="s">
        <v>10170</v>
      </c>
      <c r="B3536" t="s">
        <v>73</v>
      </c>
      <c r="C3536">
        <v>8989697390</v>
      </c>
      <c r="D3536" s="2">
        <v>1</v>
      </c>
      <c r="E3536" t="str">
        <f>"4574674200813087"</f>
        <v>4574674200813087</v>
      </c>
      <c r="F3536" t="str">
        <f>"566"</f>
        <v>566</v>
      </c>
      <c r="G3536">
        <v>1</v>
      </c>
      <c r="H3536">
        <v>2023</v>
      </c>
      <c r="I3536" t="s">
        <v>3651</v>
      </c>
    </row>
    <row r="3537" spans="1:9" x14ac:dyDescent="0.3">
      <c r="A3537" t="s">
        <v>10170</v>
      </c>
      <c r="B3537" t="s">
        <v>73</v>
      </c>
      <c r="C3537">
        <v>8989697390</v>
      </c>
      <c r="D3537" s="2">
        <v>1</v>
      </c>
      <c r="E3537" t="str">
        <f>"4574674200813210"</f>
        <v>4574674200813210</v>
      </c>
      <c r="F3537" t="str">
        <f>"182"</f>
        <v>182</v>
      </c>
      <c r="G3537">
        <v>1</v>
      </c>
      <c r="H3537">
        <v>2023</v>
      </c>
      <c r="I3537" t="s">
        <v>3652</v>
      </c>
    </row>
    <row r="3538" spans="1:9" x14ac:dyDescent="0.3">
      <c r="A3538" t="s">
        <v>10170</v>
      </c>
      <c r="B3538" t="s">
        <v>73</v>
      </c>
      <c r="C3538">
        <v>8989697390</v>
      </c>
      <c r="D3538" s="2">
        <v>1</v>
      </c>
      <c r="E3538" t="str">
        <f>"4574674200813111"</f>
        <v>4574674200813111</v>
      </c>
      <c r="F3538" t="str">
        <f>"616"</f>
        <v>616</v>
      </c>
      <c r="G3538">
        <v>1</v>
      </c>
      <c r="H3538">
        <v>2023</v>
      </c>
      <c r="I3538" t="s">
        <v>3653</v>
      </c>
    </row>
    <row r="3539" spans="1:9" x14ac:dyDescent="0.3">
      <c r="A3539" t="s">
        <v>10170</v>
      </c>
      <c r="B3539" t="s">
        <v>73</v>
      </c>
      <c r="C3539">
        <v>8989697390</v>
      </c>
      <c r="D3539" s="2">
        <v>1</v>
      </c>
      <c r="E3539" t="str">
        <f>"4574674200813160"</f>
        <v>4574674200813160</v>
      </c>
      <c r="F3539" t="str">
        <f>"327"</f>
        <v>327</v>
      </c>
      <c r="G3539">
        <v>1</v>
      </c>
      <c r="H3539">
        <v>2023</v>
      </c>
      <c r="I3539" t="s">
        <v>3654</v>
      </c>
    </row>
    <row r="3540" spans="1:9" x14ac:dyDescent="0.3">
      <c r="A3540" t="s">
        <v>10171</v>
      </c>
      <c r="B3540" t="s">
        <v>74</v>
      </c>
      <c r="C3540">
        <v>8989697390</v>
      </c>
      <c r="D3540" s="2">
        <v>1</v>
      </c>
      <c r="E3540" t="str">
        <f>"4574674200813418"</f>
        <v>4574674200813418</v>
      </c>
      <c r="F3540" t="str">
        <f>"194"</f>
        <v>194</v>
      </c>
      <c r="G3540">
        <v>1</v>
      </c>
      <c r="H3540">
        <v>2023</v>
      </c>
      <c r="I3540" t="s">
        <v>3655</v>
      </c>
    </row>
    <row r="3541" spans="1:9" x14ac:dyDescent="0.3">
      <c r="A3541" t="s">
        <v>10171</v>
      </c>
      <c r="B3541" t="s">
        <v>74</v>
      </c>
      <c r="C3541">
        <v>8989697390</v>
      </c>
      <c r="D3541" s="2">
        <v>1</v>
      </c>
      <c r="E3541" t="str">
        <f>"4574674200813434"</f>
        <v>4574674200813434</v>
      </c>
      <c r="F3541" t="str">
        <f>"830"</f>
        <v>830</v>
      </c>
      <c r="G3541">
        <v>1</v>
      </c>
      <c r="H3541">
        <v>2023</v>
      </c>
      <c r="I3541" t="s">
        <v>3656</v>
      </c>
    </row>
    <row r="3542" spans="1:9" x14ac:dyDescent="0.3">
      <c r="A3542" t="s">
        <v>10171</v>
      </c>
      <c r="B3542" t="s">
        <v>74</v>
      </c>
      <c r="C3542">
        <v>8989697390</v>
      </c>
      <c r="D3542" s="2">
        <v>1</v>
      </c>
      <c r="E3542" t="str">
        <f>"4574674200813467"</f>
        <v>4574674200813467</v>
      </c>
      <c r="F3542" t="str">
        <f>"047"</f>
        <v>047</v>
      </c>
      <c r="G3542">
        <v>1</v>
      </c>
      <c r="H3542">
        <v>2023</v>
      </c>
      <c r="I3542" t="s">
        <v>3657</v>
      </c>
    </row>
    <row r="3543" spans="1:9" x14ac:dyDescent="0.3">
      <c r="A3543" t="s">
        <v>10171</v>
      </c>
      <c r="B3543" t="s">
        <v>74</v>
      </c>
      <c r="C3543">
        <v>8989697390</v>
      </c>
      <c r="D3543" s="2">
        <v>1</v>
      </c>
      <c r="E3543" t="str">
        <f>"4574674200813277"</f>
        <v>4574674200813277</v>
      </c>
      <c r="F3543" t="str">
        <f>"436"</f>
        <v>436</v>
      </c>
      <c r="G3543">
        <v>1</v>
      </c>
      <c r="H3543">
        <v>2023</v>
      </c>
      <c r="I3543" t="s">
        <v>3658</v>
      </c>
    </row>
    <row r="3544" spans="1:9" x14ac:dyDescent="0.3">
      <c r="A3544" t="s">
        <v>10171</v>
      </c>
      <c r="B3544" t="s">
        <v>74</v>
      </c>
      <c r="C3544">
        <v>8989697390</v>
      </c>
      <c r="D3544" s="2">
        <v>1</v>
      </c>
      <c r="E3544" t="str">
        <f>"4574674200813475"</f>
        <v>4574674200813475</v>
      </c>
      <c r="F3544" t="str">
        <f>"461"</f>
        <v>461</v>
      </c>
      <c r="G3544">
        <v>1</v>
      </c>
      <c r="H3544">
        <v>2023</v>
      </c>
      <c r="I3544" t="s">
        <v>3659</v>
      </c>
    </row>
    <row r="3545" spans="1:9" x14ac:dyDescent="0.3">
      <c r="A3545" t="s">
        <v>10171</v>
      </c>
      <c r="B3545" t="s">
        <v>74</v>
      </c>
      <c r="C3545">
        <v>8989697390</v>
      </c>
      <c r="D3545" s="2">
        <v>1</v>
      </c>
      <c r="E3545" t="str">
        <f>"4574674200813574"</f>
        <v>4574674200813574</v>
      </c>
      <c r="F3545" t="str">
        <f>"803"</f>
        <v>803</v>
      </c>
      <c r="G3545">
        <v>1</v>
      </c>
      <c r="H3545">
        <v>2023</v>
      </c>
      <c r="I3545" t="s">
        <v>3660</v>
      </c>
    </row>
    <row r="3546" spans="1:9" x14ac:dyDescent="0.3">
      <c r="A3546" t="s">
        <v>10171</v>
      </c>
      <c r="B3546" t="s">
        <v>74</v>
      </c>
      <c r="C3546">
        <v>8989697390</v>
      </c>
      <c r="D3546" s="2">
        <v>1</v>
      </c>
      <c r="E3546" t="str">
        <f>"4574674200813566"</f>
        <v>4574674200813566</v>
      </c>
      <c r="F3546" t="str">
        <f>"854"</f>
        <v>854</v>
      </c>
      <c r="G3546">
        <v>1</v>
      </c>
      <c r="H3546">
        <v>2023</v>
      </c>
      <c r="I3546" t="s">
        <v>3661</v>
      </c>
    </row>
    <row r="3547" spans="1:9" x14ac:dyDescent="0.3">
      <c r="A3547" t="s">
        <v>10171</v>
      </c>
      <c r="B3547" t="s">
        <v>74</v>
      </c>
      <c r="C3547">
        <v>8989697390</v>
      </c>
      <c r="D3547" s="2">
        <v>1</v>
      </c>
      <c r="E3547" t="str">
        <f>"4574674200813608"</f>
        <v>4574674200813608</v>
      </c>
      <c r="F3547" t="str">
        <f>"660"</f>
        <v>660</v>
      </c>
      <c r="G3547">
        <v>1</v>
      </c>
      <c r="H3547">
        <v>2023</v>
      </c>
      <c r="I3547" t="s">
        <v>3662</v>
      </c>
    </row>
    <row r="3548" spans="1:9" x14ac:dyDescent="0.3">
      <c r="A3548" t="s">
        <v>10171</v>
      </c>
      <c r="B3548" t="s">
        <v>74</v>
      </c>
      <c r="C3548">
        <v>8989697390</v>
      </c>
      <c r="D3548" s="2">
        <v>1</v>
      </c>
      <c r="E3548" t="str">
        <f>"4574674200813590"</f>
        <v>4574674200813590</v>
      </c>
      <c r="F3548" t="str">
        <f>"101"</f>
        <v>101</v>
      </c>
      <c r="G3548">
        <v>1</v>
      </c>
      <c r="H3548">
        <v>2023</v>
      </c>
      <c r="I3548" t="s">
        <v>3663</v>
      </c>
    </row>
    <row r="3549" spans="1:9" x14ac:dyDescent="0.3">
      <c r="A3549" t="s">
        <v>10171</v>
      </c>
      <c r="B3549" t="s">
        <v>74</v>
      </c>
      <c r="C3549">
        <v>8989697390</v>
      </c>
      <c r="D3549" s="2">
        <v>1</v>
      </c>
      <c r="E3549" t="str">
        <f>"4574674200813343"</f>
        <v>4574674200813343</v>
      </c>
      <c r="F3549" t="str">
        <f>"071"</f>
        <v>071</v>
      </c>
      <c r="G3549">
        <v>1</v>
      </c>
      <c r="H3549">
        <v>2023</v>
      </c>
      <c r="I3549" t="s">
        <v>3664</v>
      </c>
    </row>
    <row r="3550" spans="1:9" x14ac:dyDescent="0.3">
      <c r="A3550" t="s">
        <v>10172</v>
      </c>
      <c r="B3550" t="s">
        <v>75</v>
      </c>
      <c r="C3550">
        <v>8989697390</v>
      </c>
      <c r="D3550" s="2">
        <v>1</v>
      </c>
      <c r="E3550" t="str">
        <f>"4574674200813657"</f>
        <v>4574674200813657</v>
      </c>
      <c r="F3550" t="str">
        <f>"788"</f>
        <v>788</v>
      </c>
      <c r="G3550">
        <v>1</v>
      </c>
      <c r="H3550">
        <v>2023</v>
      </c>
      <c r="I3550" t="s">
        <v>3665</v>
      </c>
    </row>
    <row r="3551" spans="1:9" x14ac:dyDescent="0.3">
      <c r="A3551" t="s">
        <v>10172</v>
      </c>
      <c r="B3551" t="s">
        <v>75</v>
      </c>
      <c r="C3551">
        <v>8989697390</v>
      </c>
      <c r="D3551" s="2">
        <v>1</v>
      </c>
      <c r="E3551" t="str">
        <f>"4574674200813699"</f>
        <v>4574674200813699</v>
      </c>
      <c r="F3551" t="str">
        <f>"447"</f>
        <v>447</v>
      </c>
      <c r="G3551">
        <v>1</v>
      </c>
      <c r="H3551">
        <v>2023</v>
      </c>
      <c r="I3551" t="s">
        <v>3666</v>
      </c>
    </row>
    <row r="3552" spans="1:9" x14ac:dyDescent="0.3">
      <c r="A3552" t="s">
        <v>10172</v>
      </c>
      <c r="B3552" t="s">
        <v>75</v>
      </c>
      <c r="C3552">
        <v>8989697390</v>
      </c>
      <c r="D3552" s="2">
        <v>1</v>
      </c>
      <c r="E3552" t="str">
        <f>"4574674200813731"</f>
        <v>4574674200813731</v>
      </c>
      <c r="F3552" t="str">
        <f>"188"</f>
        <v>188</v>
      </c>
      <c r="G3552">
        <v>1</v>
      </c>
      <c r="H3552">
        <v>2023</v>
      </c>
      <c r="I3552" t="s">
        <v>3667</v>
      </c>
    </row>
    <row r="3553" spans="1:9" x14ac:dyDescent="0.3">
      <c r="A3553" t="s">
        <v>10172</v>
      </c>
      <c r="B3553" t="s">
        <v>75</v>
      </c>
      <c r="C3553">
        <v>8989697390</v>
      </c>
      <c r="D3553" s="2">
        <v>1</v>
      </c>
      <c r="E3553" t="str">
        <f>"4574674200813384"</f>
        <v>4574674200813384</v>
      </c>
      <c r="F3553" t="str">
        <f>"460"</f>
        <v>460</v>
      </c>
      <c r="G3553">
        <v>1</v>
      </c>
      <c r="H3553">
        <v>2023</v>
      </c>
      <c r="I3553" t="s">
        <v>3668</v>
      </c>
    </row>
    <row r="3554" spans="1:9" x14ac:dyDescent="0.3">
      <c r="A3554" t="s">
        <v>10172</v>
      </c>
      <c r="B3554" t="s">
        <v>75</v>
      </c>
      <c r="C3554">
        <v>8989697390</v>
      </c>
      <c r="D3554" s="2">
        <v>1</v>
      </c>
      <c r="E3554" t="str">
        <f>"4574674200813764"</f>
        <v>4574674200813764</v>
      </c>
      <c r="F3554" t="str">
        <f>"606"</f>
        <v>606</v>
      </c>
      <c r="G3554">
        <v>1</v>
      </c>
      <c r="H3554">
        <v>2023</v>
      </c>
      <c r="I3554" t="s">
        <v>3669</v>
      </c>
    </row>
    <row r="3555" spans="1:9" x14ac:dyDescent="0.3">
      <c r="A3555" t="s">
        <v>10172</v>
      </c>
      <c r="B3555" t="s">
        <v>75</v>
      </c>
      <c r="C3555">
        <v>8989697390</v>
      </c>
      <c r="D3555" s="2">
        <v>1</v>
      </c>
      <c r="E3555" t="str">
        <f>"4574674200813772"</f>
        <v>4574674200813772</v>
      </c>
      <c r="F3555" t="str">
        <f>"036"</f>
        <v>036</v>
      </c>
      <c r="G3555">
        <v>1</v>
      </c>
      <c r="H3555">
        <v>2023</v>
      </c>
      <c r="I3555" t="s">
        <v>3670</v>
      </c>
    </row>
    <row r="3556" spans="1:9" x14ac:dyDescent="0.3">
      <c r="A3556" t="s">
        <v>10172</v>
      </c>
      <c r="B3556" t="s">
        <v>75</v>
      </c>
      <c r="C3556">
        <v>8989697390</v>
      </c>
      <c r="D3556" s="2">
        <v>1</v>
      </c>
      <c r="E3556" t="str">
        <f>"4574674200814002"</f>
        <v>4574674200814002</v>
      </c>
      <c r="F3556" t="str">
        <f>"686"</f>
        <v>686</v>
      </c>
      <c r="G3556">
        <v>1</v>
      </c>
      <c r="H3556">
        <v>2023</v>
      </c>
      <c r="I3556" t="s">
        <v>3671</v>
      </c>
    </row>
    <row r="3557" spans="1:9" x14ac:dyDescent="0.3">
      <c r="A3557" t="s">
        <v>10172</v>
      </c>
      <c r="B3557" t="s">
        <v>75</v>
      </c>
      <c r="C3557">
        <v>8989697390</v>
      </c>
      <c r="D3557" s="2">
        <v>1</v>
      </c>
      <c r="E3557" t="str">
        <f>"4574674200813863"</f>
        <v>4574674200813863</v>
      </c>
      <c r="F3557" t="str">
        <f>"931"</f>
        <v>931</v>
      </c>
      <c r="G3557">
        <v>1</v>
      </c>
      <c r="H3557">
        <v>2023</v>
      </c>
      <c r="I3557" t="s">
        <v>3672</v>
      </c>
    </row>
    <row r="3558" spans="1:9" x14ac:dyDescent="0.3">
      <c r="A3558" t="s">
        <v>10172</v>
      </c>
      <c r="B3558" t="s">
        <v>75</v>
      </c>
      <c r="C3558">
        <v>8989697390</v>
      </c>
      <c r="D3558" s="2">
        <v>1</v>
      </c>
      <c r="E3558" t="str">
        <f>"4574674200814069"</f>
        <v>4574674200814069</v>
      </c>
      <c r="F3558" t="str">
        <f>"725"</f>
        <v>725</v>
      </c>
      <c r="G3558">
        <v>1</v>
      </c>
      <c r="H3558">
        <v>2023</v>
      </c>
      <c r="I3558" t="s">
        <v>3673</v>
      </c>
    </row>
    <row r="3559" spans="1:9" x14ac:dyDescent="0.3">
      <c r="A3559" t="s">
        <v>10172</v>
      </c>
      <c r="B3559" t="s">
        <v>75</v>
      </c>
      <c r="C3559">
        <v>8989697390</v>
      </c>
      <c r="D3559" s="2">
        <v>1</v>
      </c>
      <c r="E3559" t="str">
        <f>"4574674200814051"</f>
        <v>4574674200814051</v>
      </c>
      <c r="F3559" t="str">
        <f>"283"</f>
        <v>283</v>
      </c>
      <c r="G3559">
        <v>1</v>
      </c>
      <c r="H3559">
        <v>2023</v>
      </c>
      <c r="I3559" t="s">
        <v>3674</v>
      </c>
    </row>
    <row r="3560" spans="1:9" x14ac:dyDescent="0.3">
      <c r="A3560" t="s">
        <v>10173</v>
      </c>
      <c r="B3560" t="s">
        <v>76</v>
      </c>
      <c r="C3560">
        <v>8989697390</v>
      </c>
      <c r="D3560" s="2">
        <v>1</v>
      </c>
      <c r="E3560" t="str">
        <f>"4574674200814119"</f>
        <v>4574674200814119</v>
      </c>
      <c r="F3560" t="str">
        <f>"782"</f>
        <v>782</v>
      </c>
      <c r="G3560">
        <v>1</v>
      </c>
      <c r="H3560">
        <v>2023</v>
      </c>
      <c r="I3560" t="s">
        <v>3675</v>
      </c>
    </row>
    <row r="3561" spans="1:9" x14ac:dyDescent="0.3">
      <c r="A3561" t="s">
        <v>10173</v>
      </c>
      <c r="B3561" t="s">
        <v>76</v>
      </c>
      <c r="C3561">
        <v>8989697390</v>
      </c>
      <c r="D3561" s="2">
        <v>1</v>
      </c>
      <c r="E3561" t="str">
        <f>"4574674200814135"</f>
        <v>4574674200814135</v>
      </c>
      <c r="F3561" t="str">
        <f>"536"</f>
        <v>536</v>
      </c>
      <c r="G3561">
        <v>1</v>
      </c>
      <c r="H3561">
        <v>2023</v>
      </c>
      <c r="I3561" t="s">
        <v>3676</v>
      </c>
    </row>
    <row r="3562" spans="1:9" x14ac:dyDescent="0.3">
      <c r="A3562" t="s">
        <v>10173</v>
      </c>
      <c r="B3562" t="s">
        <v>76</v>
      </c>
      <c r="C3562">
        <v>8989697390</v>
      </c>
      <c r="D3562" s="2">
        <v>1</v>
      </c>
      <c r="E3562" t="str">
        <f>"4574674200813913"</f>
        <v>4574674200813913</v>
      </c>
      <c r="F3562" t="str">
        <f>"735"</f>
        <v>735</v>
      </c>
      <c r="G3562">
        <v>1</v>
      </c>
      <c r="H3562">
        <v>2023</v>
      </c>
      <c r="I3562" t="s">
        <v>3677</v>
      </c>
    </row>
    <row r="3563" spans="1:9" x14ac:dyDescent="0.3">
      <c r="A3563" t="s">
        <v>10173</v>
      </c>
      <c r="B3563" t="s">
        <v>76</v>
      </c>
      <c r="C3563">
        <v>8989697390</v>
      </c>
      <c r="D3563" s="2">
        <v>1</v>
      </c>
      <c r="E3563" t="str">
        <f>"4574674200813962"</f>
        <v>4574674200813962</v>
      </c>
      <c r="F3563" t="str">
        <f>"515"</f>
        <v>515</v>
      </c>
      <c r="G3563">
        <v>1</v>
      </c>
      <c r="H3563">
        <v>2023</v>
      </c>
      <c r="I3563" t="s">
        <v>3678</v>
      </c>
    </row>
    <row r="3564" spans="1:9" x14ac:dyDescent="0.3">
      <c r="A3564" t="s">
        <v>10173</v>
      </c>
      <c r="B3564" t="s">
        <v>76</v>
      </c>
      <c r="C3564">
        <v>8989697390</v>
      </c>
      <c r="D3564" s="2">
        <v>1</v>
      </c>
      <c r="E3564" t="str">
        <f>"4574674200814192"</f>
        <v>4574674200814192</v>
      </c>
      <c r="F3564" t="str">
        <f>"459"</f>
        <v>459</v>
      </c>
      <c r="G3564">
        <v>1</v>
      </c>
      <c r="H3564">
        <v>2023</v>
      </c>
      <c r="I3564" t="s">
        <v>3679</v>
      </c>
    </row>
    <row r="3565" spans="1:9" x14ac:dyDescent="0.3">
      <c r="A3565" t="s">
        <v>10173</v>
      </c>
      <c r="B3565" t="s">
        <v>76</v>
      </c>
      <c r="C3565">
        <v>8989697390</v>
      </c>
      <c r="D3565" s="2">
        <v>1</v>
      </c>
      <c r="E3565" t="str">
        <f>"4574674200814226"</f>
        <v>4574674200814226</v>
      </c>
      <c r="F3565" t="str">
        <f>"486"</f>
        <v>486</v>
      </c>
      <c r="G3565">
        <v>1</v>
      </c>
      <c r="H3565">
        <v>2023</v>
      </c>
      <c r="I3565" t="s">
        <v>3680</v>
      </c>
    </row>
    <row r="3566" spans="1:9" x14ac:dyDescent="0.3">
      <c r="A3566" t="s">
        <v>10173</v>
      </c>
      <c r="B3566" t="s">
        <v>76</v>
      </c>
      <c r="C3566">
        <v>8989697390</v>
      </c>
      <c r="D3566" s="2">
        <v>1</v>
      </c>
      <c r="E3566" t="str">
        <f>"4574674200814267"</f>
        <v>4574674200814267</v>
      </c>
      <c r="F3566" t="str">
        <f>"267"</f>
        <v>267</v>
      </c>
      <c r="G3566">
        <v>1</v>
      </c>
      <c r="H3566">
        <v>2023</v>
      </c>
      <c r="I3566" t="s">
        <v>3681</v>
      </c>
    </row>
    <row r="3567" spans="1:9" x14ac:dyDescent="0.3">
      <c r="A3567" t="s">
        <v>10173</v>
      </c>
      <c r="B3567" t="s">
        <v>76</v>
      </c>
      <c r="C3567">
        <v>8989697390</v>
      </c>
      <c r="D3567" s="2">
        <v>1</v>
      </c>
      <c r="E3567" t="str">
        <f>"4574674200814457"</f>
        <v>4574674200814457</v>
      </c>
      <c r="F3567" t="str">
        <f>"030"</f>
        <v>030</v>
      </c>
      <c r="G3567">
        <v>1</v>
      </c>
      <c r="H3567">
        <v>2023</v>
      </c>
      <c r="I3567" t="s">
        <v>3682</v>
      </c>
    </row>
    <row r="3568" spans="1:9" x14ac:dyDescent="0.3">
      <c r="A3568" t="s">
        <v>10173</v>
      </c>
      <c r="B3568" t="s">
        <v>76</v>
      </c>
      <c r="C3568">
        <v>8989697390</v>
      </c>
      <c r="D3568" s="2">
        <v>1</v>
      </c>
      <c r="E3568" t="str">
        <f>"4574674200814366"</f>
        <v>4574674200814366</v>
      </c>
      <c r="F3568" t="str">
        <f>"774"</f>
        <v>774</v>
      </c>
      <c r="G3568">
        <v>1</v>
      </c>
      <c r="H3568">
        <v>2023</v>
      </c>
      <c r="I3568" t="s">
        <v>3683</v>
      </c>
    </row>
    <row r="3569" spans="1:9" x14ac:dyDescent="0.3">
      <c r="A3569" t="s">
        <v>10173</v>
      </c>
      <c r="B3569" t="s">
        <v>76</v>
      </c>
      <c r="C3569">
        <v>8989697390</v>
      </c>
      <c r="D3569" s="2">
        <v>1</v>
      </c>
      <c r="E3569" t="str">
        <f>"4574674200814374"</f>
        <v>4574674200814374</v>
      </c>
      <c r="F3569" t="str">
        <f>"272"</f>
        <v>272</v>
      </c>
      <c r="G3569">
        <v>1</v>
      </c>
      <c r="H3569">
        <v>2023</v>
      </c>
      <c r="I3569" t="s">
        <v>3684</v>
      </c>
    </row>
    <row r="3570" spans="1:9" x14ac:dyDescent="0.3">
      <c r="A3570" t="s">
        <v>10146</v>
      </c>
      <c r="B3570" t="s">
        <v>61</v>
      </c>
      <c r="C3570">
        <v>8989697390</v>
      </c>
      <c r="D3570" s="2">
        <v>1</v>
      </c>
      <c r="E3570" t="str">
        <f>"4574674200814499"</f>
        <v>4574674200814499</v>
      </c>
      <c r="F3570" t="str">
        <f>"873"</f>
        <v>873</v>
      </c>
      <c r="G3570">
        <v>1</v>
      </c>
      <c r="H3570">
        <v>2023</v>
      </c>
      <c r="I3570" t="s">
        <v>3685</v>
      </c>
    </row>
    <row r="3571" spans="1:9" x14ac:dyDescent="0.3">
      <c r="A3571" t="s">
        <v>10146</v>
      </c>
      <c r="B3571" t="s">
        <v>61</v>
      </c>
      <c r="C3571">
        <v>8989697390</v>
      </c>
      <c r="D3571" s="2">
        <v>1</v>
      </c>
      <c r="E3571" t="str">
        <f>"4574674200814556"</f>
        <v>4574674200814556</v>
      </c>
      <c r="F3571" t="str">
        <f>"784"</f>
        <v>784</v>
      </c>
      <c r="G3571">
        <v>1</v>
      </c>
      <c r="H3571">
        <v>2023</v>
      </c>
      <c r="I3571" t="s">
        <v>3686</v>
      </c>
    </row>
    <row r="3572" spans="1:9" x14ac:dyDescent="0.3">
      <c r="A3572" t="s">
        <v>10146</v>
      </c>
      <c r="B3572" t="s">
        <v>61</v>
      </c>
      <c r="C3572">
        <v>8989697390</v>
      </c>
      <c r="D3572" s="2">
        <v>1</v>
      </c>
      <c r="E3572" t="str">
        <f>"4574674200814572"</f>
        <v>4574674200814572</v>
      </c>
      <c r="F3572" t="str">
        <f>"667"</f>
        <v>667</v>
      </c>
      <c r="G3572">
        <v>1</v>
      </c>
      <c r="H3572">
        <v>2023</v>
      </c>
      <c r="I3572" t="s">
        <v>3687</v>
      </c>
    </row>
    <row r="3573" spans="1:9" x14ac:dyDescent="0.3">
      <c r="A3573" t="s">
        <v>10146</v>
      </c>
      <c r="B3573" t="s">
        <v>61</v>
      </c>
      <c r="C3573">
        <v>8989697390</v>
      </c>
      <c r="D3573" s="2">
        <v>1</v>
      </c>
      <c r="E3573" t="str">
        <f>"4574674200814515"</f>
        <v>4574674200814515</v>
      </c>
      <c r="F3573" t="str">
        <f>"429"</f>
        <v>429</v>
      </c>
      <c r="G3573">
        <v>1</v>
      </c>
      <c r="H3573">
        <v>2023</v>
      </c>
      <c r="I3573" t="s">
        <v>3688</v>
      </c>
    </row>
    <row r="3574" spans="1:9" x14ac:dyDescent="0.3">
      <c r="A3574" t="s">
        <v>10146</v>
      </c>
      <c r="B3574" t="s">
        <v>61</v>
      </c>
      <c r="C3574">
        <v>8989697390</v>
      </c>
      <c r="D3574" s="2">
        <v>1</v>
      </c>
      <c r="E3574" t="str">
        <f>"4574674200814507"</f>
        <v>4574674200814507</v>
      </c>
      <c r="F3574" t="str">
        <f>"505"</f>
        <v>505</v>
      </c>
      <c r="G3574">
        <v>1</v>
      </c>
      <c r="H3574">
        <v>2023</v>
      </c>
      <c r="I3574" t="s">
        <v>3689</v>
      </c>
    </row>
    <row r="3575" spans="1:9" x14ac:dyDescent="0.3">
      <c r="A3575" t="s">
        <v>10146</v>
      </c>
      <c r="B3575" t="s">
        <v>61</v>
      </c>
      <c r="C3575">
        <v>8989697390</v>
      </c>
      <c r="D3575" s="2">
        <v>1</v>
      </c>
      <c r="E3575" t="str">
        <f>"4574674200814895"</f>
        <v>4574674200814895</v>
      </c>
      <c r="F3575" t="str">
        <f>"428"</f>
        <v>428</v>
      </c>
      <c r="G3575">
        <v>1</v>
      </c>
      <c r="H3575">
        <v>2023</v>
      </c>
      <c r="I3575" t="s">
        <v>3690</v>
      </c>
    </row>
    <row r="3576" spans="1:9" x14ac:dyDescent="0.3">
      <c r="A3576" t="s">
        <v>10146</v>
      </c>
      <c r="B3576" t="s">
        <v>61</v>
      </c>
      <c r="C3576">
        <v>8989697390</v>
      </c>
      <c r="D3576" s="2">
        <v>1</v>
      </c>
      <c r="E3576" t="str">
        <f>"4574674200814887"</f>
        <v>4574674200814887</v>
      </c>
      <c r="F3576" t="str">
        <f>"773"</f>
        <v>773</v>
      </c>
      <c r="G3576">
        <v>1</v>
      </c>
      <c r="H3576">
        <v>2023</v>
      </c>
      <c r="I3576" t="s">
        <v>3691</v>
      </c>
    </row>
    <row r="3577" spans="1:9" x14ac:dyDescent="0.3">
      <c r="A3577" t="s">
        <v>10146</v>
      </c>
      <c r="B3577" t="s">
        <v>61</v>
      </c>
      <c r="C3577">
        <v>8989697390</v>
      </c>
      <c r="D3577" s="2">
        <v>1</v>
      </c>
      <c r="E3577" t="str">
        <f>"4574674200814648"</f>
        <v>4574674200814648</v>
      </c>
      <c r="F3577" t="str">
        <f>"313"</f>
        <v>313</v>
      </c>
      <c r="G3577">
        <v>1</v>
      </c>
      <c r="H3577">
        <v>2023</v>
      </c>
      <c r="I3577" t="s">
        <v>3692</v>
      </c>
    </row>
    <row r="3578" spans="1:9" x14ac:dyDescent="0.3">
      <c r="A3578" t="s">
        <v>10146</v>
      </c>
      <c r="B3578" t="s">
        <v>61</v>
      </c>
      <c r="C3578">
        <v>8989697390</v>
      </c>
      <c r="D3578" s="2">
        <v>1</v>
      </c>
      <c r="E3578" t="str">
        <f>"4574674200814622"</f>
        <v>4574674200814622</v>
      </c>
      <c r="F3578" t="str">
        <f>"755"</f>
        <v>755</v>
      </c>
      <c r="G3578">
        <v>1</v>
      </c>
      <c r="H3578">
        <v>2023</v>
      </c>
      <c r="I3578" t="s">
        <v>3693</v>
      </c>
    </row>
    <row r="3579" spans="1:9" x14ac:dyDescent="0.3">
      <c r="A3579" t="s">
        <v>10146</v>
      </c>
      <c r="B3579" t="s">
        <v>61</v>
      </c>
      <c r="C3579">
        <v>8989697390</v>
      </c>
      <c r="D3579" s="2">
        <v>1</v>
      </c>
      <c r="E3579" t="str">
        <f>"4574674200814663"</f>
        <v>4574674200814663</v>
      </c>
      <c r="F3579" t="str">
        <f>"188"</f>
        <v>188</v>
      </c>
      <c r="G3579">
        <v>1</v>
      </c>
      <c r="H3579">
        <v>2023</v>
      </c>
      <c r="I3579" t="s">
        <v>3694</v>
      </c>
    </row>
    <row r="3580" spans="1:9" x14ac:dyDescent="0.3">
      <c r="A3580" t="s">
        <v>10174</v>
      </c>
      <c r="B3580" t="s">
        <v>77</v>
      </c>
      <c r="C3580">
        <v>8989697390</v>
      </c>
      <c r="D3580" s="2">
        <v>1</v>
      </c>
      <c r="E3580" t="str">
        <f>"4574674200814697"</f>
        <v>4574674200814697</v>
      </c>
      <c r="F3580" t="str">
        <f>"058"</f>
        <v>058</v>
      </c>
      <c r="G3580">
        <v>1</v>
      </c>
      <c r="H3580">
        <v>2023</v>
      </c>
      <c r="I3580" t="s">
        <v>3695</v>
      </c>
    </row>
    <row r="3581" spans="1:9" x14ac:dyDescent="0.3">
      <c r="A3581" t="s">
        <v>10174</v>
      </c>
      <c r="B3581" t="s">
        <v>77</v>
      </c>
      <c r="C3581">
        <v>8989697390</v>
      </c>
      <c r="D3581" s="2">
        <v>1</v>
      </c>
      <c r="E3581" t="str">
        <f>"4574674200814721"</f>
        <v>4574674200814721</v>
      </c>
      <c r="F3581" t="str">
        <f>"795"</f>
        <v>795</v>
      </c>
      <c r="G3581">
        <v>1</v>
      </c>
      <c r="H3581">
        <v>2023</v>
      </c>
      <c r="I3581" t="s">
        <v>3696</v>
      </c>
    </row>
    <row r="3582" spans="1:9" x14ac:dyDescent="0.3">
      <c r="A3582" t="s">
        <v>10174</v>
      </c>
      <c r="B3582" t="s">
        <v>77</v>
      </c>
      <c r="C3582">
        <v>8989697390</v>
      </c>
      <c r="D3582" s="2">
        <v>1</v>
      </c>
      <c r="E3582" t="str">
        <f>"4574674200814903"</f>
        <v>4574674200814903</v>
      </c>
      <c r="F3582" t="str">
        <f>"669"</f>
        <v>669</v>
      </c>
      <c r="G3582">
        <v>1</v>
      </c>
      <c r="H3582">
        <v>2023</v>
      </c>
      <c r="I3582" t="s">
        <v>3697</v>
      </c>
    </row>
    <row r="3583" spans="1:9" x14ac:dyDescent="0.3">
      <c r="A3583" t="s">
        <v>10174</v>
      </c>
      <c r="B3583" t="s">
        <v>77</v>
      </c>
      <c r="C3583">
        <v>8989697390</v>
      </c>
      <c r="D3583" s="2">
        <v>1</v>
      </c>
      <c r="E3583" t="str">
        <f>"4574674200814937"</f>
        <v>4574674200814937</v>
      </c>
      <c r="F3583" t="str">
        <f>"446"</f>
        <v>446</v>
      </c>
      <c r="G3583">
        <v>1</v>
      </c>
      <c r="H3583">
        <v>2023</v>
      </c>
      <c r="I3583" t="s">
        <v>3698</v>
      </c>
    </row>
    <row r="3584" spans="1:9" x14ac:dyDescent="0.3">
      <c r="A3584" t="s">
        <v>10174</v>
      </c>
      <c r="B3584" t="s">
        <v>77</v>
      </c>
      <c r="C3584">
        <v>8989697390</v>
      </c>
      <c r="D3584" s="2">
        <v>1</v>
      </c>
      <c r="E3584" t="str">
        <f>"4574674200814960"</f>
        <v>4574674200814960</v>
      </c>
      <c r="F3584" t="str">
        <f>"675"</f>
        <v>675</v>
      </c>
      <c r="G3584">
        <v>1</v>
      </c>
      <c r="H3584">
        <v>2023</v>
      </c>
      <c r="I3584" t="s">
        <v>3699</v>
      </c>
    </row>
    <row r="3585" spans="1:9" x14ac:dyDescent="0.3">
      <c r="A3585" t="s">
        <v>10174</v>
      </c>
      <c r="B3585" t="s">
        <v>77</v>
      </c>
      <c r="C3585">
        <v>8989697390</v>
      </c>
      <c r="D3585" s="2">
        <v>1</v>
      </c>
      <c r="E3585" t="str">
        <f>"4574674200814788"</f>
        <v>4574674200814788</v>
      </c>
      <c r="F3585" t="str">
        <f>"802"</f>
        <v>802</v>
      </c>
      <c r="G3585">
        <v>1</v>
      </c>
      <c r="H3585">
        <v>2023</v>
      </c>
      <c r="I3585" t="s">
        <v>3700</v>
      </c>
    </row>
    <row r="3586" spans="1:9" x14ac:dyDescent="0.3">
      <c r="A3586" t="s">
        <v>10174</v>
      </c>
      <c r="B3586" t="s">
        <v>77</v>
      </c>
      <c r="C3586">
        <v>8989697390</v>
      </c>
      <c r="D3586" s="2">
        <v>1</v>
      </c>
      <c r="E3586" t="str">
        <f>"4574674200815058"</f>
        <v>4574674200815058</v>
      </c>
      <c r="F3586" t="str">
        <f>"637"</f>
        <v>637</v>
      </c>
      <c r="G3586">
        <v>1</v>
      </c>
      <c r="H3586">
        <v>2023</v>
      </c>
      <c r="I3586" t="s">
        <v>3701</v>
      </c>
    </row>
    <row r="3587" spans="1:9" x14ac:dyDescent="0.3">
      <c r="A3587" t="s">
        <v>10174</v>
      </c>
      <c r="B3587" t="s">
        <v>77</v>
      </c>
      <c r="C3587">
        <v>8989697390</v>
      </c>
      <c r="D3587" s="2">
        <v>1</v>
      </c>
      <c r="E3587" t="str">
        <f>"4574674200815207"</f>
        <v>4574674200815207</v>
      </c>
      <c r="F3587" t="str">
        <f>"998"</f>
        <v>998</v>
      </c>
      <c r="G3587">
        <v>1</v>
      </c>
      <c r="H3587">
        <v>2023</v>
      </c>
      <c r="I3587" t="s">
        <v>3702</v>
      </c>
    </row>
    <row r="3588" spans="1:9" x14ac:dyDescent="0.3">
      <c r="A3588" t="s">
        <v>10174</v>
      </c>
      <c r="B3588" t="s">
        <v>77</v>
      </c>
      <c r="C3588">
        <v>8989697390</v>
      </c>
      <c r="D3588" s="2">
        <v>1</v>
      </c>
      <c r="E3588" t="str">
        <f>"4574674200815223"</f>
        <v>4574674200815223</v>
      </c>
      <c r="F3588" t="str">
        <f>"814"</f>
        <v>814</v>
      </c>
      <c r="G3588">
        <v>1</v>
      </c>
      <c r="H3588">
        <v>2023</v>
      </c>
      <c r="I3588" t="s">
        <v>3703</v>
      </c>
    </row>
    <row r="3589" spans="1:9" x14ac:dyDescent="0.3">
      <c r="A3589" t="s">
        <v>10174</v>
      </c>
      <c r="B3589" t="s">
        <v>77</v>
      </c>
      <c r="C3589">
        <v>8989697390</v>
      </c>
      <c r="D3589" s="2">
        <v>1</v>
      </c>
      <c r="E3589" t="str">
        <f>"4574674200815140"</f>
        <v>4574674200815140</v>
      </c>
      <c r="F3589" t="str">
        <f>"621"</f>
        <v>621</v>
      </c>
      <c r="G3589">
        <v>1</v>
      </c>
      <c r="H3589">
        <v>2023</v>
      </c>
      <c r="I3589" t="s">
        <v>3704</v>
      </c>
    </row>
    <row r="3590" spans="1:9" x14ac:dyDescent="0.3">
      <c r="A3590" t="s">
        <v>10163</v>
      </c>
      <c r="B3590" t="s">
        <v>57</v>
      </c>
      <c r="C3590">
        <v>8989697390</v>
      </c>
      <c r="D3590" s="2">
        <v>1</v>
      </c>
      <c r="E3590" t="str">
        <f>"4574674200815264"</f>
        <v>4574674200815264</v>
      </c>
      <c r="F3590" t="str">
        <f>"081"</f>
        <v>081</v>
      </c>
      <c r="G3590">
        <v>1</v>
      </c>
      <c r="H3590">
        <v>2023</v>
      </c>
      <c r="I3590" t="s">
        <v>3705</v>
      </c>
    </row>
    <row r="3591" spans="1:9" x14ac:dyDescent="0.3">
      <c r="A3591" t="s">
        <v>10163</v>
      </c>
      <c r="B3591" t="s">
        <v>57</v>
      </c>
      <c r="C3591">
        <v>8989697390</v>
      </c>
      <c r="D3591" s="2">
        <v>1</v>
      </c>
      <c r="E3591" t="str">
        <f>"4574674200815298"</f>
        <v>4574674200815298</v>
      </c>
      <c r="F3591" t="str">
        <f>"175"</f>
        <v>175</v>
      </c>
      <c r="G3591">
        <v>1</v>
      </c>
      <c r="H3591">
        <v>2023</v>
      </c>
      <c r="I3591" t="s">
        <v>3706</v>
      </c>
    </row>
    <row r="3592" spans="1:9" x14ac:dyDescent="0.3">
      <c r="A3592" t="s">
        <v>10163</v>
      </c>
      <c r="B3592" t="s">
        <v>57</v>
      </c>
      <c r="C3592">
        <v>8989697390</v>
      </c>
      <c r="D3592" s="2">
        <v>1</v>
      </c>
      <c r="E3592" t="str">
        <f>"4574674200815413"</f>
        <v>4574674200815413</v>
      </c>
      <c r="F3592" t="str">
        <f>"024"</f>
        <v>024</v>
      </c>
      <c r="G3592">
        <v>1</v>
      </c>
      <c r="H3592">
        <v>2023</v>
      </c>
      <c r="I3592" t="s">
        <v>3707</v>
      </c>
    </row>
    <row r="3593" spans="1:9" x14ac:dyDescent="0.3">
      <c r="A3593" t="s">
        <v>10163</v>
      </c>
      <c r="B3593" t="s">
        <v>57</v>
      </c>
      <c r="C3593">
        <v>8989697390</v>
      </c>
      <c r="D3593" s="2">
        <v>1</v>
      </c>
      <c r="E3593" t="str">
        <f>"4574674200815306"</f>
        <v>4574674200815306</v>
      </c>
      <c r="F3593" t="str">
        <f>"948"</f>
        <v>948</v>
      </c>
      <c r="G3593">
        <v>1</v>
      </c>
      <c r="H3593">
        <v>2023</v>
      </c>
      <c r="I3593" t="s">
        <v>3708</v>
      </c>
    </row>
    <row r="3594" spans="1:9" x14ac:dyDescent="0.3">
      <c r="A3594" t="s">
        <v>10163</v>
      </c>
      <c r="B3594" t="s">
        <v>57</v>
      </c>
      <c r="C3594">
        <v>8989697390</v>
      </c>
      <c r="D3594" s="2">
        <v>1</v>
      </c>
      <c r="E3594" t="str">
        <f>"4574674200815322"</f>
        <v>4574674200815322</v>
      </c>
      <c r="F3594" t="str">
        <f>"440"</f>
        <v>440</v>
      </c>
      <c r="G3594">
        <v>1</v>
      </c>
      <c r="H3594">
        <v>2023</v>
      </c>
      <c r="I3594" t="s">
        <v>3709</v>
      </c>
    </row>
    <row r="3595" spans="1:9" x14ac:dyDescent="0.3">
      <c r="A3595" t="s">
        <v>10163</v>
      </c>
      <c r="B3595" t="s">
        <v>57</v>
      </c>
      <c r="C3595">
        <v>8989697390</v>
      </c>
      <c r="D3595" s="2">
        <v>1</v>
      </c>
      <c r="E3595" t="str">
        <f>"4574674200815439"</f>
        <v>4574674200815439</v>
      </c>
      <c r="F3595" t="str">
        <f>"971"</f>
        <v>971</v>
      </c>
      <c r="G3595">
        <v>1</v>
      </c>
      <c r="H3595">
        <v>2023</v>
      </c>
      <c r="I3595" t="s">
        <v>3710</v>
      </c>
    </row>
    <row r="3596" spans="1:9" x14ac:dyDescent="0.3">
      <c r="A3596" t="s">
        <v>10163</v>
      </c>
      <c r="B3596" t="s">
        <v>57</v>
      </c>
      <c r="C3596">
        <v>8989697390</v>
      </c>
      <c r="D3596" s="2">
        <v>1</v>
      </c>
      <c r="E3596" t="str">
        <f>"4574674200815363"</f>
        <v>4574674200815363</v>
      </c>
      <c r="F3596" t="str">
        <f>"165"</f>
        <v>165</v>
      </c>
      <c r="G3596">
        <v>1</v>
      </c>
      <c r="H3596">
        <v>2023</v>
      </c>
      <c r="I3596" t="s">
        <v>3711</v>
      </c>
    </row>
    <row r="3597" spans="1:9" x14ac:dyDescent="0.3">
      <c r="A3597" t="s">
        <v>10163</v>
      </c>
      <c r="B3597" t="s">
        <v>57</v>
      </c>
      <c r="C3597">
        <v>8989697390</v>
      </c>
      <c r="D3597" s="2">
        <v>1</v>
      </c>
      <c r="E3597" t="str">
        <f>"4574674200815553"</f>
        <v>4574674200815553</v>
      </c>
      <c r="F3597" t="str">
        <f>"913"</f>
        <v>913</v>
      </c>
      <c r="G3597">
        <v>1</v>
      </c>
      <c r="H3597">
        <v>2023</v>
      </c>
      <c r="I3597" t="s">
        <v>3712</v>
      </c>
    </row>
    <row r="3598" spans="1:9" x14ac:dyDescent="0.3">
      <c r="A3598" t="s">
        <v>10163</v>
      </c>
      <c r="B3598" t="s">
        <v>57</v>
      </c>
      <c r="C3598">
        <v>8989697390</v>
      </c>
      <c r="D3598" s="2">
        <v>1</v>
      </c>
      <c r="E3598" t="str">
        <f>"4574674200815546"</f>
        <v>4574674200815546</v>
      </c>
      <c r="F3598" t="str">
        <f>"143"</f>
        <v>143</v>
      </c>
      <c r="G3598">
        <v>1</v>
      </c>
      <c r="H3598">
        <v>2023</v>
      </c>
      <c r="I3598" t="s">
        <v>3713</v>
      </c>
    </row>
    <row r="3599" spans="1:9" x14ac:dyDescent="0.3">
      <c r="A3599" t="s">
        <v>10163</v>
      </c>
      <c r="B3599" t="s">
        <v>57</v>
      </c>
      <c r="C3599">
        <v>8989697390</v>
      </c>
      <c r="D3599" s="2">
        <v>1</v>
      </c>
      <c r="E3599" t="str">
        <f>"4574674200815603"</f>
        <v>4574674200815603</v>
      </c>
      <c r="F3599" t="str">
        <f>"004"</f>
        <v>004</v>
      </c>
      <c r="G3599">
        <v>1</v>
      </c>
      <c r="H3599">
        <v>2023</v>
      </c>
      <c r="I3599" t="s">
        <v>3714</v>
      </c>
    </row>
    <row r="3600" spans="1:9" x14ac:dyDescent="0.3">
      <c r="A3600" t="s">
        <v>10173</v>
      </c>
      <c r="B3600" t="s">
        <v>76</v>
      </c>
      <c r="C3600">
        <v>8989697390</v>
      </c>
      <c r="D3600" s="2">
        <v>1</v>
      </c>
      <c r="E3600" t="str">
        <f>"4574674200815694"</f>
        <v>4574674200815694</v>
      </c>
      <c r="F3600" t="str">
        <f>"607"</f>
        <v>607</v>
      </c>
      <c r="G3600">
        <v>1</v>
      </c>
      <c r="H3600">
        <v>2023</v>
      </c>
      <c r="I3600" t="s">
        <v>3715</v>
      </c>
    </row>
    <row r="3601" spans="1:9" x14ac:dyDescent="0.3">
      <c r="A3601" t="s">
        <v>10173</v>
      </c>
      <c r="B3601" t="s">
        <v>76</v>
      </c>
      <c r="C3601">
        <v>8989697390</v>
      </c>
      <c r="D3601" s="2">
        <v>1</v>
      </c>
      <c r="E3601" t="str">
        <f>"4574674200815660"</f>
        <v>4574674200815660</v>
      </c>
      <c r="F3601" t="str">
        <f>"383"</f>
        <v>383</v>
      </c>
      <c r="G3601">
        <v>1</v>
      </c>
      <c r="H3601">
        <v>2023</v>
      </c>
      <c r="I3601" t="s">
        <v>3716</v>
      </c>
    </row>
    <row r="3602" spans="1:9" x14ac:dyDescent="0.3">
      <c r="A3602" t="s">
        <v>10173</v>
      </c>
      <c r="B3602" t="s">
        <v>76</v>
      </c>
      <c r="C3602">
        <v>8989697390</v>
      </c>
      <c r="D3602" s="2">
        <v>1</v>
      </c>
      <c r="E3602" t="str">
        <f>"4574674200815744"</f>
        <v>4574674200815744</v>
      </c>
      <c r="F3602" t="str">
        <f>"031"</f>
        <v>031</v>
      </c>
      <c r="G3602">
        <v>1</v>
      </c>
      <c r="H3602">
        <v>2023</v>
      </c>
      <c r="I3602" t="s">
        <v>3717</v>
      </c>
    </row>
    <row r="3603" spans="1:9" x14ac:dyDescent="0.3">
      <c r="A3603" t="s">
        <v>10173</v>
      </c>
      <c r="B3603" t="s">
        <v>76</v>
      </c>
      <c r="C3603">
        <v>8989697390</v>
      </c>
      <c r="D3603" s="2">
        <v>1</v>
      </c>
      <c r="E3603" t="str">
        <f>"4574674200815751"</f>
        <v>4574674200815751</v>
      </c>
      <c r="F3603" t="str">
        <f>"309"</f>
        <v>309</v>
      </c>
      <c r="G3603">
        <v>1</v>
      </c>
      <c r="H3603">
        <v>2023</v>
      </c>
      <c r="I3603" t="s">
        <v>3718</v>
      </c>
    </row>
    <row r="3604" spans="1:9" x14ac:dyDescent="0.3">
      <c r="A3604" t="s">
        <v>10173</v>
      </c>
      <c r="B3604" t="s">
        <v>76</v>
      </c>
      <c r="C3604">
        <v>8989697390</v>
      </c>
      <c r="D3604" s="2">
        <v>1</v>
      </c>
      <c r="E3604" t="str">
        <f>"4574674200815850"</f>
        <v>4574674200815850</v>
      </c>
      <c r="F3604" t="str">
        <f>"706"</f>
        <v>706</v>
      </c>
      <c r="G3604">
        <v>1</v>
      </c>
      <c r="H3604">
        <v>2023</v>
      </c>
      <c r="I3604" t="s">
        <v>3719</v>
      </c>
    </row>
    <row r="3605" spans="1:9" x14ac:dyDescent="0.3">
      <c r="A3605" t="s">
        <v>10173</v>
      </c>
      <c r="B3605" t="s">
        <v>76</v>
      </c>
      <c r="C3605">
        <v>8989697390</v>
      </c>
      <c r="D3605" s="2">
        <v>1</v>
      </c>
      <c r="E3605" t="str">
        <f>"4574674200815876"</f>
        <v>4574674200815876</v>
      </c>
      <c r="F3605" t="str">
        <f>"802"</f>
        <v>802</v>
      </c>
      <c r="G3605">
        <v>1</v>
      </c>
      <c r="H3605">
        <v>2023</v>
      </c>
      <c r="I3605" t="s">
        <v>3720</v>
      </c>
    </row>
    <row r="3606" spans="1:9" x14ac:dyDescent="0.3">
      <c r="A3606" t="s">
        <v>10173</v>
      </c>
      <c r="B3606" t="s">
        <v>76</v>
      </c>
      <c r="C3606">
        <v>8989697390</v>
      </c>
      <c r="D3606" s="2">
        <v>1</v>
      </c>
      <c r="E3606" t="str">
        <f>"4574674200815769"</f>
        <v>4574674200815769</v>
      </c>
      <c r="F3606" t="str">
        <f>"795"</f>
        <v>795</v>
      </c>
      <c r="G3606">
        <v>1</v>
      </c>
      <c r="H3606">
        <v>2023</v>
      </c>
      <c r="I3606" t="s">
        <v>3721</v>
      </c>
    </row>
    <row r="3607" spans="1:9" x14ac:dyDescent="0.3">
      <c r="A3607" t="s">
        <v>10173</v>
      </c>
      <c r="B3607" t="s">
        <v>76</v>
      </c>
      <c r="C3607">
        <v>8989697390</v>
      </c>
      <c r="D3607" s="2">
        <v>1</v>
      </c>
      <c r="E3607" t="str">
        <f>"4574674200815785"</f>
        <v>4574674200815785</v>
      </c>
      <c r="F3607" t="str">
        <f>"980"</f>
        <v>980</v>
      </c>
      <c r="G3607">
        <v>1</v>
      </c>
      <c r="H3607">
        <v>2023</v>
      </c>
      <c r="I3607" t="s">
        <v>3722</v>
      </c>
    </row>
    <row r="3608" spans="1:9" x14ac:dyDescent="0.3">
      <c r="A3608" t="s">
        <v>10173</v>
      </c>
      <c r="B3608" t="s">
        <v>76</v>
      </c>
      <c r="C3608">
        <v>8989697390</v>
      </c>
      <c r="D3608" s="2">
        <v>1</v>
      </c>
      <c r="E3608" t="str">
        <f>"4574674200815892"</f>
        <v>4574674200815892</v>
      </c>
      <c r="F3608" t="str">
        <f>"049"</f>
        <v>049</v>
      </c>
      <c r="G3608">
        <v>1</v>
      </c>
      <c r="H3608">
        <v>2023</v>
      </c>
      <c r="I3608" t="s">
        <v>3723</v>
      </c>
    </row>
    <row r="3609" spans="1:9" x14ac:dyDescent="0.3">
      <c r="A3609" t="s">
        <v>10173</v>
      </c>
      <c r="B3609" t="s">
        <v>76</v>
      </c>
      <c r="C3609">
        <v>8989697390</v>
      </c>
      <c r="D3609" s="2">
        <v>1</v>
      </c>
      <c r="E3609" t="str">
        <f>"4574674200816072"</f>
        <v>4574674200816072</v>
      </c>
      <c r="F3609" t="str">
        <f>"220"</f>
        <v>220</v>
      </c>
      <c r="G3609">
        <v>1</v>
      </c>
      <c r="H3609">
        <v>2023</v>
      </c>
      <c r="I3609" t="s">
        <v>3724</v>
      </c>
    </row>
    <row r="3610" spans="1:9" x14ac:dyDescent="0.3">
      <c r="A3610" t="s">
        <v>10175</v>
      </c>
      <c r="B3610" t="s">
        <v>78</v>
      </c>
      <c r="C3610">
        <v>8989697390</v>
      </c>
      <c r="D3610" s="2">
        <v>1</v>
      </c>
      <c r="E3610" t="str">
        <f>"4574674200816098"</f>
        <v>4574674200816098</v>
      </c>
      <c r="F3610" t="str">
        <f>"726"</f>
        <v>726</v>
      </c>
      <c r="G3610">
        <v>1</v>
      </c>
      <c r="H3610">
        <v>2023</v>
      </c>
      <c r="I3610" t="s">
        <v>3725</v>
      </c>
    </row>
    <row r="3611" spans="1:9" x14ac:dyDescent="0.3">
      <c r="A3611" t="s">
        <v>10175</v>
      </c>
      <c r="B3611" t="s">
        <v>78</v>
      </c>
      <c r="C3611">
        <v>8989697390</v>
      </c>
      <c r="D3611" s="2">
        <v>1</v>
      </c>
      <c r="E3611" t="str">
        <f>"4574674200816148"</f>
        <v>4574674200816148</v>
      </c>
      <c r="F3611" t="str">
        <f>"996"</f>
        <v>996</v>
      </c>
      <c r="G3611">
        <v>1</v>
      </c>
      <c r="H3611">
        <v>2023</v>
      </c>
      <c r="I3611" t="s">
        <v>3726</v>
      </c>
    </row>
    <row r="3612" spans="1:9" x14ac:dyDescent="0.3">
      <c r="A3612" t="s">
        <v>10175</v>
      </c>
      <c r="B3612" t="s">
        <v>78</v>
      </c>
      <c r="C3612">
        <v>8989697390</v>
      </c>
      <c r="D3612" s="2">
        <v>1</v>
      </c>
      <c r="E3612" t="str">
        <f>"4574674200816155"</f>
        <v>4574674200816155</v>
      </c>
      <c r="F3612" t="str">
        <f>"387"</f>
        <v>387</v>
      </c>
      <c r="G3612">
        <v>1</v>
      </c>
      <c r="H3612">
        <v>2023</v>
      </c>
      <c r="I3612" t="s">
        <v>3727</v>
      </c>
    </row>
    <row r="3613" spans="1:9" x14ac:dyDescent="0.3">
      <c r="A3613" t="s">
        <v>10175</v>
      </c>
      <c r="B3613" t="s">
        <v>78</v>
      </c>
      <c r="C3613">
        <v>8989697390</v>
      </c>
      <c r="D3613" s="2">
        <v>1</v>
      </c>
      <c r="E3613" t="str">
        <f>"4574674200816163"</f>
        <v>4574674200816163</v>
      </c>
      <c r="F3613" t="str">
        <f>"996"</f>
        <v>996</v>
      </c>
      <c r="G3613">
        <v>1</v>
      </c>
      <c r="H3613">
        <v>2023</v>
      </c>
      <c r="I3613" t="s">
        <v>3728</v>
      </c>
    </row>
    <row r="3614" spans="1:9" x14ac:dyDescent="0.3">
      <c r="A3614" t="s">
        <v>10175</v>
      </c>
      <c r="B3614" t="s">
        <v>78</v>
      </c>
      <c r="C3614">
        <v>8989697390</v>
      </c>
      <c r="D3614" s="2">
        <v>1</v>
      </c>
      <c r="E3614" t="str">
        <f>"4574674200815959"</f>
        <v>4574674200815959</v>
      </c>
      <c r="F3614" t="str">
        <f>"618"</f>
        <v>618</v>
      </c>
      <c r="G3614">
        <v>1</v>
      </c>
      <c r="H3614">
        <v>2023</v>
      </c>
      <c r="I3614" t="s">
        <v>3729</v>
      </c>
    </row>
    <row r="3615" spans="1:9" x14ac:dyDescent="0.3">
      <c r="A3615" t="s">
        <v>10175</v>
      </c>
      <c r="B3615" t="s">
        <v>78</v>
      </c>
      <c r="C3615">
        <v>8989697390</v>
      </c>
      <c r="D3615" s="2">
        <v>1</v>
      </c>
      <c r="E3615" t="str">
        <f>"4574674200816452"</f>
        <v>4574674200816452</v>
      </c>
      <c r="F3615" t="str">
        <f>"749"</f>
        <v>749</v>
      </c>
      <c r="G3615">
        <v>1</v>
      </c>
      <c r="H3615">
        <v>2023</v>
      </c>
      <c r="I3615" t="s">
        <v>3730</v>
      </c>
    </row>
    <row r="3616" spans="1:9" x14ac:dyDescent="0.3">
      <c r="A3616" t="s">
        <v>10175</v>
      </c>
      <c r="B3616" t="s">
        <v>78</v>
      </c>
      <c r="C3616">
        <v>8989697390</v>
      </c>
      <c r="D3616" s="2">
        <v>1</v>
      </c>
      <c r="E3616" t="str">
        <f>"4574674200816239"</f>
        <v>4574674200816239</v>
      </c>
      <c r="F3616" t="str">
        <f>"189"</f>
        <v>189</v>
      </c>
      <c r="G3616">
        <v>1</v>
      </c>
      <c r="H3616">
        <v>2023</v>
      </c>
      <c r="I3616" t="s">
        <v>3731</v>
      </c>
    </row>
    <row r="3617" spans="1:9" x14ac:dyDescent="0.3">
      <c r="A3617" t="s">
        <v>10175</v>
      </c>
      <c r="B3617" t="s">
        <v>78</v>
      </c>
      <c r="C3617">
        <v>8989697390</v>
      </c>
      <c r="D3617" s="2">
        <v>1</v>
      </c>
      <c r="E3617" t="str">
        <f>"4574674200816502"</f>
        <v>4574674200816502</v>
      </c>
      <c r="F3617" t="str">
        <f>"197"</f>
        <v>197</v>
      </c>
      <c r="G3617">
        <v>1</v>
      </c>
      <c r="H3617">
        <v>2023</v>
      </c>
      <c r="I3617" t="s">
        <v>3732</v>
      </c>
    </row>
    <row r="3618" spans="1:9" x14ac:dyDescent="0.3">
      <c r="A3618" t="s">
        <v>10175</v>
      </c>
      <c r="B3618" t="s">
        <v>78</v>
      </c>
      <c r="C3618">
        <v>8989697390</v>
      </c>
      <c r="D3618" s="2">
        <v>1</v>
      </c>
      <c r="E3618" t="str">
        <f>"4574674200816254"</f>
        <v>4574674200816254</v>
      </c>
      <c r="F3618" t="str">
        <f>"248"</f>
        <v>248</v>
      </c>
      <c r="G3618">
        <v>1</v>
      </c>
      <c r="H3618">
        <v>2023</v>
      </c>
      <c r="I3618" t="s">
        <v>3733</v>
      </c>
    </row>
    <row r="3619" spans="1:9" x14ac:dyDescent="0.3">
      <c r="A3619" t="s">
        <v>10175</v>
      </c>
      <c r="B3619" t="s">
        <v>78</v>
      </c>
      <c r="C3619">
        <v>8989697390</v>
      </c>
      <c r="D3619" s="2">
        <v>1</v>
      </c>
      <c r="E3619" t="str">
        <f>"4574674200816270"</f>
        <v>4574674200816270</v>
      </c>
      <c r="F3619" t="str">
        <f>"047"</f>
        <v>047</v>
      </c>
      <c r="G3619">
        <v>1</v>
      </c>
      <c r="H3619">
        <v>2023</v>
      </c>
      <c r="I3619" t="s">
        <v>3734</v>
      </c>
    </row>
    <row r="3620" spans="1:9" x14ac:dyDescent="0.3">
      <c r="A3620" t="s">
        <v>10168</v>
      </c>
      <c r="B3620" t="s">
        <v>69</v>
      </c>
      <c r="C3620">
        <v>8989697390</v>
      </c>
      <c r="D3620" s="2">
        <v>1</v>
      </c>
      <c r="E3620" t="str">
        <f>"4574674200816296"</f>
        <v>4574674200816296</v>
      </c>
      <c r="F3620" t="str">
        <f>"530"</f>
        <v>530</v>
      </c>
      <c r="G3620">
        <v>1</v>
      </c>
      <c r="H3620">
        <v>2023</v>
      </c>
      <c r="I3620" t="s">
        <v>3735</v>
      </c>
    </row>
    <row r="3621" spans="1:9" x14ac:dyDescent="0.3">
      <c r="A3621" t="s">
        <v>10168</v>
      </c>
      <c r="B3621" t="s">
        <v>69</v>
      </c>
      <c r="C3621">
        <v>8989697390</v>
      </c>
      <c r="D3621" s="2">
        <v>1</v>
      </c>
      <c r="E3621" t="str">
        <f>"4574674200816320"</f>
        <v>4574674200816320</v>
      </c>
      <c r="F3621" t="str">
        <f>"552"</f>
        <v>552</v>
      </c>
      <c r="G3621">
        <v>1</v>
      </c>
      <c r="H3621">
        <v>2023</v>
      </c>
      <c r="I3621" t="s">
        <v>3736</v>
      </c>
    </row>
    <row r="3622" spans="1:9" x14ac:dyDescent="0.3">
      <c r="A3622" t="s">
        <v>10168</v>
      </c>
      <c r="B3622" t="s">
        <v>69</v>
      </c>
      <c r="C3622">
        <v>8989697390</v>
      </c>
      <c r="D3622" s="2">
        <v>1</v>
      </c>
      <c r="E3622" t="str">
        <f>"4574674200816387"</f>
        <v>4574674200816387</v>
      </c>
      <c r="F3622" t="str">
        <f>"940"</f>
        <v>940</v>
      </c>
      <c r="G3622">
        <v>1</v>
      </c>
      <c r="H3622">
        <v>2023</v>
      </c>
      <c r="I3622" t="s">
        <v>3737</v>
      </c>
    </row>
    <row r="3623" spans="1:9" x14ac:dyDescent="0.3">
      <c r="A3623" t="s">
        <v>10168</v>
      </c>
      <c r="B3623" t="s">
        <v>69</v>
      </c>
      <c r="C3623">
        <v>8989697390</v>
      </c>
      <c r="D3623" s="2">
        <v>1</v>
      </c>
      <c r="E3623" t="str">
        <f>"4574674200816577"</f>
        <v>4574674200816577</v>
      </c>
      <c r="F3623" t="str">
        <f>"907"</f>
        <v>907</v>
      </c>
      <c r="G3623">
        <v>1</v>
      </c>
      <c r="H3623">
        <v>2023</v>
      </c>
      <c r="I3623" t="s">
        <v>3738</v>
      </c>
    </row>
    <row r="3624" spans="1:9" x14ac:dyDescent="0.3">
      <c r="A3624" t="s">
        <v>10168</v>
      </c>
      <c r="B3624" t="s">
        <v>69</v>
      </c>
      <c r="C3624">
        <v>8989697390</v>
      </c>
      <c r="D3624" s="2">
        <v>1</v>
      </c>
      <c r="E3624" t="str">
        <f>"4574674200816619"</f>
        <v>4574674200816619</v>
      </c>
      <c r="F3624" t="str">
        <f>"175"</f>
        <v>175</v>
      </c>
      <c r="G3624">
        <v>1</v>
      </c>
      <c r="H3624">
        <v>2023</v>
      </c>
      <c r="I3624" t="s">
        <v>3739</v>
      </c>
    </row>
    <row r="3625" spans="1:9" x14ac:dyDescent="0.3">
      <c r="A3625" t="s">
        <v>10168</v>
      </c>
      <c r="B3625" t="s">
        <v>69</v>
      </c>
      <c r="C3625">
        <v>8989697390</v>
      </c>
      <c r="D3625" s="2">
        <v>1</v>
      </c>
      <c r="E3625" t="str">
        <f>"4574674200816833"</f>
        <v>4574674200816833</v>
      </c>
      <c r="F3625" t="str">
        <f>"311"</f>
        <v>311</v>
      </c>
      <c r="G3625">
        <v>1</v>
      </c>
      <c r="H3625">
        <v>2023</v>
      </c>
      <c r="I3625" t="s">
        <v>3740</v>
      </c>
    </row>
    <row r="3626" spans="1:9" x14ac:dyDescent="0.3">
      <c r="A3626" t="s">
        <v>10168</v>
      </c>
      <c r="B3626" t="s">
        <v>69</v>
      </c>
      <c r="C3626">
        <v>8989697390</v>
      </c>
      <c r="D3626" s="2">
        <v>1</v>
      </c>
      <c r="E3626" t="str">
        <f>"4574674200816858"</f>
        <v>4574674200816858</v>
      </c>
      <c r="F3626" t="str">
        <f>"170"</f>
        <v>170</v>
      </c>
      <c r="G3626">
        <v>1</v>
      </c>
      <c r="H3626">
        <v>2023</v>
      </c>
      <c r="I3626" t="s">
        <v>3741</v>
      </c>
    </row>
    <row r="3627" spans="1:9" x14ac:dyDescent="0.3">
      <c r="A3627" t="s">
        <v>10168</v>
      </c>
      <c r="B3627" t="s">
        <v>69</v>
      </c>
      <c r="C3627">
        <v>8989697390</v>
      </c>
      <c r="D3627" s="2">
        <v>1</v>
      </c>
      <c r="E3627" t="str">
        <f>"4574674200816908"</f>
        <v>4574674200816908</v>
      </c>
      <c r="F3627" t="str">
        <f>"414"</f>
        <v>414</v>
      </c>
      <c r="G3627">
        <v>1</v>
      </c>
      <c r="H3627">
        <v>2023</v>
      </c>
      <c r="I3627" t="s">
        <v>3742</v>
      </c>
    </row>
    <row r="3628" spans="1:9" x14ac:dyDescent="0.3">
      <c r="A3628" t="s">
        <v>10168</v>
      </c>
      <c r="B3628" t="s">
        <v>69</v>
      </c>
      <c r="C3628">
        <v>8989697390</v>
      </c>
      <c r="D3628" s="2">
        <v>1</v>
      </c>
      <c r="E3628" t="str">
        <f>"4574674200816874"</f>
        <v>4574674200816874</v>
      </c>
      <c r="F3628" t="str">
        <f>"822"</f>
        <v>822</v>
      </c>
      <c r="G3628">
        <v>1</v>
      </c>
      <c r="H3628">
        <v>2023</v>
      </c>
      <c r="I3628" t="s">
        <v>3743</v>
      </c>
    </row>
    <row r="3629" spans="1:9" x14ac:dyDescent="0.3">
      <c r="A3629" t="s">
        <v>10168</v>
      </c>
      <c r="B3629" t="s">
        <v>69</v>
      </c>
      <c r="C3629">
        <v>8989697390</v>
      </c>
      <c r="D3629" s="2">
        <v>1</v>
      </c>
      <c r="E3629" t="str">
        <f>"4574674200816684"</f>
        <v>4574674200816684</v>
      </c>
      <c r="F3629" t="str">
        <f>"879"</f>
        <v>879</v>
      </c>
      <c r="G3629">
        <v>1</v>
      </c>
      <c r="H3629">
        <v>2023</v>
      </c>
      <c r="I3629" t="s">
        <v>3744</v>
      </c>
    </row>
    <row r="3630" spans="1:9" x14ac:dyDescent="0.3">
      <c r="A3630" t="s">
        <v>10124</v>
      </c>
      <c r="B3630" t="s">
        <v>79</v>
      </c>
      <c r="C3630">
        <v>8989697390</v>
      </c>
      <c r="D3630" s="2">
        <v>1</v>
      </c>
      <c r="E3630" t="str">
        <f>"4574674200816692"</f>
        <v>4574674200816692</v>
      </c>
      <c r="F3630" t="str">
        <f>"224"</f>
        <v>224</v>
      </c>
      <c r="G3630">
        <v>1</v>
      </c>
      <c r="H3630">
        <v>2023</v>
      </c>
      <c r="I3630" t="s">
        <v>3745</v>
      </c>
    </row>
    <row r="3631" spans="1:9" x14ac:dyDescent="0.3">
      <c r="A3631" t="s">
        <v>10124</v>
      </c>
      <c r="B3631" t="s">
        <v>79</v>
      </c>
      <c r="C3631">
        <v>8989697390</v>
      </c>
      <c r="D3631" s="2">
        <v>1</v>
      </c>
      <c r="E3631" t="str">
        <f>"4574674200817021"</f>
        <v>4574674200817021</v>
      </c>
      <c r="F3631" t="str">
        <f>"095"</f>
        <v>095</v>
      </c>
      <c r="G3631">
        <v>1</v>
      </c>
      <c r="H3631">
        <v>2023</v>
      </c>
      <c r="I3631" t="s">
        <v>3746</v>
      </c>
    </row>
    <row r="3632" spans="1:9" x14ac:dyDescent="0.3">
      <c r="A3632" t="s">
        <v>10124</v>
      </c>
      <c r="B3632" t="s">
        <v>79</v>
      </c>
      <c r="C3632">
        <v>8989697390</v>
      </c>
      <c r="D3632" s="2">
        <v>1</v>
      </c>
      <c r="E3632" t="str">
        <f>"4574674200816973"</f>
        <v>4574674200816973</v>
      </c>
      <c r="F3632" t="str">
        <f>"391"</f>
        <v>391</v>
      </c>
      <c r="G3632">
        <v>1</v>
      </c>
      <c r="H3632">
        <v>2023</v>
      </c>
      <c r="I3632" t="s">
        <v>3747</v>
      </c>
    </row>
    <row r="3633" spans="1:9" x14ac:dyDescent="0.3">
      <c r="A3633" t="s">
        <v>10124</v>
      </c>
      <c r="B3633" t="s">
        <v>79</v>
      </c>
      <c r="C3633">
        <v>8989697390</v>
      </c>
      <c r="D3633" s="2">
        <v>1</v>
      </c>
      <c r="E3633" t="str">
        <f>"4574674200817054"</f>
        <v>4574674200817054</v>
      </c>
      <c r="F3633" t="str">
        <f>"643"</f>
        <v>643</v>
      </c>
      <c r="G3633">
        <v>1</v>
      </c>
      <c r="H3633">
        <v>2023</v>
      </c>
      <c r="I3633" t="s">
        <v>3748</v>
      </c>
    </row>
    <row r="3634" spans="1:9" x14ac:dyDescent="0.3">
      <c r="A3634" t="s">
        <v>10124</v>
      </c>
      <c r="B3634" t="s">
        <v>79</v>
      </c>
      <c r="C3634">
        <v>8989697390</v>
      </c>
      <c r="D3634" s="2">
        <v>1</v>
      </c>
      <c r="E3634" t="str">
        <f>"4574674200816999"</f>
        <v>4574674200816999</v>
      </c>
      <c r="F3634" t="str">
        <f>"172"</f>
        <v>172</v>
      </c>
      <c r="G3634">
        <v>1</v>
      </c>
      <c r="H3634">
        <v>2023</v>
      </c>
      <c r="I3634" t="s">
        <v>3749</v>
      </c>
    </row>
    <row r="3635" spans="1:9" x14ac:dyDescent="0.3">
      <c r="A3635" t="s">
        <v>10124</v>
      </c>
      <c r="B3635" t="s">
        <v>79</v>
      </c>
      <c r="C3635">
        <v>8989697390</v>
      </c>
      <c r="D3635" s="2">
        <v>1</v>
      </c>
      <c r="E3635" t="str">
        <f>"4574674200817047"</f>
        <v>4574674200817047</v>
      </c>
      <c r="F3635" t="str">
        <f>"360"</f>
        <v>360</v>
      </c>
      <c r="G3635">
        <v>1</v>
      </c>
      <c r="H3635">
        <v>2023</v>
      </c>
      <c r="I3635" t="s">
        <v>3750</v>
      </c>
    </row>
    <row r="3636" spans="1:9" x14ac:dyDescent="0.3">
      <c r="A3636" t="s">
        <v>10124</v>
      </c>
      <c r="B3636" t="s">
        <v>79</v>
      </c>
      <c r="C3636">
        <v>8989697390</v>
      </c>
      <c r="D3636" s="2">
        <v>1</v>
      </c>
      <c r="E3636" t="str">
        <f>"4574674200816791"</f>
        <v>4574674200816791</v>
      </c>
      <c r="F3636" t="str">
        <f>"963"</f>
        <v>963</v>
      </c>
      <c r="G3636">
        <v>1</v>
      </c>
      <c r="H3636">
        <v>2023</v>
      </c>
      <c r="I3636" t="s">
        <v>3751</v>
      </c>
    </row>
    <row r="3637" spans="1:9" x14ac:dyDescent="0.3">
      <c r="A3637" t="s">
        <v>10124</v>
      </c>
      <c r="B3637" t="s">
        <v>79</v>
      </c>
      <c r="C3637">
        <v>8989697390</v>
      </c>
      <c r="D3637" s="2">
        <v>1</v>
      </c>
      <c r="E3637" t="str">
        <f>"4574674200817161"</f>
        <v>4574674200817161</v>
      </c>
      <c r="F3637" t="str">
        <f>"306"</f>
        <v>306</v>
      </c>
      <c r="G3637">
        <v>1</v>
      </c>
      <c r="H3637">
        <v>2023</v>
      </c>
      <c r="I3637" t="s">
        <v>3752</v>
      </c>
    </row>
    <row r="3638" spans="1:9" x14ac:dyDescent="0.3">
      <c r="A3638" t="s">
        <v>10124</v>
      </c>
      <c r="B3638" t="s">
        <v>79</v>
      </c>
      <c r="C3638">
        <v>8989697390</v>
      </c>
      <c r="D3638" s="2">
        <v>1</v>
      </c>
      <c r="E3638" t="str">
        <f>"4574674200817153"</f>
        <v>4574674200817153</v>
      </c>
      <c r="F3638" t="str">
        <f>"777"</f>
        <v>777</v>
      </c>
      <c r="G3638">
        <v>1</v>
      </c>
      <c r="H3638">
        <v>2023</v>
      </c>
      <c r="I3638" t="s">
        <v>3753</v>
      </c>
    </row>
    <row r="3639" spans="1:9" x14ac:dyDescent="0.3">
      <c r="A3639" t="s">
        <v>10124</v>
      </c>
      <c r="B3639" t="s">
        <v>79</v>
      </c>
      <c r="C3639">
        <v>8989697390</v>
      </c>
      <c r="D3639" s="2">
        <v>1</v>
      </c>
      <c r="E3639" t="str">
        <f>"4574674200817179"</f>
        <v>4574674200817179</v>
      </c>
      <c r="F3639" t="str">
        <f>"445"</f>
        <v>445</v>
      </c>
      <c r="G3639">
        <v>1</v>
      </c>
      <c r="H3639">
        <v>2023</v>
      </c>
      <c r="I3639" t="s">
        <v>3754</v>
      </c>
    </row>
    <row r="3640" spans="1:9" x14ac:dyDescent="0.3">
      <c r="A3640" t="s">
        <v>10125</v>
      </c>
      <c r="B3640" t="s">
        <v>80</v>
      </c>
      <c r="C3640">
        <v>8989697390</v>
      </c>
      <c r="D3640" s="2">
        <v>1</v>
      </c>
      <c r="E3640" t="str">
        <f>"4574674200817195"</f>
        <v>4574674200817195</v>
      </c>
      <c r="F3640" t="str">
        <f>"976"</f>
        <v>976</v>
      </c>
      <c r="G3640">
        <v>1</v>
      </c>
      <c r="H3640">
        <v>2023</v>
      </c>
      <c r="I3640" t="s">
        <v>3755</v>
      </c>
    </row>
    <row r="3641" spans="1:9" x14ac:dyDescent="0.3">
      <c r="A3641" t="s">
        <v>10125</v>
      </c>
      <c r="B3641" t="s">
        <v>80</v>
      </c>
      <c r="C3641">
        <v>8989697390</v>
      </c>
      <c r="D3641" s="2">
        <v>1</v>
      </c>
      <c r="E3641" t="str">
        <f>"4574674200817427"</f>
        <v>4574674200817427</v>
      </c>
      <c r="F3641" t="str">
        <f>"124"</f>
        <v>124</v>
      </c>
      <c r="G3641">
        <v>1</v>
      </c>
      <c r="H3641">
        <v>2023</v>
      </c>
      <c r="I3641" t="s">
        <v>3756</v>
      </c>
    </row>
    <row r="3642" spans="1:9" x14ac:dyDescent="0.3">
      <c r="A3642" t="s">
        <v>10125</v>
      </c>
      <c r="B3642" t="s">
        <v>80</v>
      </c>
      <c r="C3642">
        <v>8989697390</v>
      </c>
      <c r="D3642" s="2">
        <v>1</v>
      </c>
      <c r="E3642" t="str">
        <f>"4574674200817286"</f>
        <v>4574674200817286</v>
      </c>
      <c r="F3642" t="str">
        <f>"302"</f>
        <v>302</v>
      </c>
      <c r="G3642">
        <v>1</v>
      </c>
      <c r="H3642">
        <v>2023</v>
      </c>
      <c r="I3642" t="s">
        <v>3757</v>
      </c>
    </row>
    <row r="3643" spans="1:9" x14ac:dyDescent="0.3">
      <c r="A3643" t="s">
        <v>10125</v>
      </c>
      <c r="B3643" t="s">
        <v>80</v>
      </c>
      <c r="C3643">
        <v>8989697390</v>
      </c>
      <c r="D3643" s="2">
        <v>1</v>
      </c>
      <c r="E3643" t="str">
        <f>"4574674200817336"</f>
        <v>4574674200817336</v>
      </c>
      <c r="F3643" t="str">
        <f>"054"</f>
        <v>054</v>
      </c>
      <c r="G3643">
        <v>1</v>
      </c>
      <c r="H3643">
        <v>2023</v>
      </c>
      <c r="I3643" t="s">
        <v>3758</v>
      </c>
    </row>
    <row r="3644" spans="1:9" x14ac:dyDescent="0.3">
      <c r="A3644" t="s">
        <v>10125</v>
      </c>
      <c r="B3644" t="s">
        <v>80</v>
      </c>
      <c r="C3644">
        <v>8989697390</v>
      </c>
      <c r="D3644" s="2">
        <v>1</v>
      </c>
      <c r="E3644" t="str">
        <f>"4574674200817518"</f>
        <v>4574674200817518</v>
      </c>
      <c r="F3644" t="str">
        <f>"018"</f>
        <v>018</v>
      </c>
      <c r="G3644">
        <v>1</v>
      </c>
      <c r="H3644">
        <v>2023</v>
      </c>
      <c r="I3644" t="s">
        <v>3759</v>
      </c>
    </row>
    <row r="3645" spans="1:9" x14ac:dyDescent="0.3">
      <c r="A3645" t="s">
        <v>10125</v>
      </c>
      <c r="B3645" t="s">
        <v>80</v>
      </c>
      <c r="C3645">
        <v>8989697390</v>
      </c>
      <c r="D3645" s="2">
        <v>1</v>
      </c>
      <c r="E3645" t="str">
        <f>"4574674200817492"</f>
        <v>4574674200817492</v>
      </c>
      <c r="F3645" t="str">
        <f>"412"</f>
        <v>412</v>
      </c>
      <c r="G3645">
        <v>1</v>
      </c>
      <c r="H3645">
        <v>2023</v>
      </c>
      <c r="I3645" t="s">
        <v>3760</v>
      </c>
    </row>
    <row r="3646" spans="1:9" x14ac:dyDescent="0.3">
      <c r="A3646" t="s">
        <v>10125</v>
      </c>
      <c r="B3646" t="s">
        <v>80</v>
      </c>
      <c r="C3646">
        <v>8989697390</v>
      </c>
      <c r="D3646" s="2">
        <v>1</v>
      </c>
      <c r="E3646" t="str">
        <f>"4574674200817500"</f>
        <v>4574674200817500</v>
      </c>
      <c r="F3646" t="str">
        <f>"206"</f>
        <v>206</v>
      </c>
      <c r="G3646">
        <v>1</v>
      </c>
      <c r="H3646">
        <v>2023</v>
      </c>
      <c r="I3646" t="s">
        <v>3761</v>
      </c>
    </row>
    <row r="3647" spans="1:9" x14ac:dyDescent="0.3">
      <c r="A3647" t="s">
        <v>10125</v>
      </c>
      <c r="B3647" t="s">
        <v>80</v>
      </c>
      <c r="C3647">
        <v>8989697390</v>
      </c>
      <c r="D3647" s="2">
        <v>1</v>
      </c>
      <c r="E3647" t="str">
        <f>"4574674200817575"</f>
        <v>4574674200817575</v>
      </c>
      <c r="F3647" t="str">
        <f>"878"</f>
        <v>878</v>
      </c>
      <c r="G3647">
        <v>1</v>
      </c>
      <c r="H3647">
        <v>2023</v>
      </c>
      <c r="I3647" t="s">
        <v>3762</v>
      </c>
    </row>
    <row r="3648" spans="1:9" x14ac:dyDescent="0.3">
      <c r="A3648" t="s">
        <v>10125</v>
      </c>
      <c r="B3648" t="s">
        <v>80</v>
      </c>
      <c r="C3648">
        <v>8989697390</v>
      </c>
      <c r="D3648" s="2">
        <v>1</v>
      </c>
      <c r="E3648" t="str">
        <f>"4574674200817567"</f>
        <v>4574674200817567</v>
      </c>
      <c r="F3648" t="str">
        <f>"398"</f>
        <v>398</v>
      </c>
      <c r="G3648">
        <v>1</v>
      </c>
      <c r="H3648">
        <v>2023</v>
      </c>
      <c r="I3648" t="s">
        <v>3763</v>
      </c>
    </row>
    <row r="3649" spans="1:9" x14ac:dyDescent="0.3">
      <c r="A3649" t="s">
        <v>10125</v>
      </c>
      <c r="B3649" t="s">
        <v>80</v>
      </c>
      <c r="C3649">
        <v>8989697390</v>
      </c>
      <c r="D3649" s="2">
        <v>1</v>
      </c>
      <c r="E3649" t="str">
        <f>"4574674200817815"</f>
        <v>4574674200817815</v>
      </c>
      <c r="F3649" t="str">
        <f>"581"</f>
        <v>581</v>
      </c>
      <c r="G3649">
        <v>1</v>
      </c>
      <c r="H3649">
        <v>2023</v>
      </c>
      <c r="I3649" t="s">
        <v>3764</v>
      </c>
    </row>
    <row r="3650" spans="1:9" x14ac:dyDescent="0.3">
      <c r="A3650" t="s">
        <v>10163</v>
      </c>
      <c r="B3650" t="s">
        <v>57</v>
      </c>
      <c r="C3650">
        <v>8989697390</v>
      </c>
      <c r="D3650" s="2">
        <v>1</v>
      </c>
      <c r="E3650" t="str">
        <f>"4574674200817690"</f>
        <v>4574674200817690</v>
      </c>
      <c r="F3650" t="str">
        <f>"542"</f>
        <v>542</v>
      </c>
      <c r="G3650">
        <v>1</v>
      </c>
      <c r="H3650">
        <v>2023</v>
      </c>
      <c r="I3650" t="s">
        <v>3765</v>
      </c>
    </row>
    <row r="3651" spans="1:9" x14ac:dyDescent="0.3">
      <c r="A3651" t="s">
        <v>10163</v>
      </c>
      <c r="B3651" t="s">
        <v>57</v>
      </c>
      <c r="C3651">
        <v>8989697390</v>
      </c>
      <c r="D3651" s="2">
        <v>1</v>
      </c>
      <c r="E3651" t="str">
        <f>"4574674200817658"</f>
        <v>4574674200817658</v>
      </c>
      <c r="F3651" t="str">
        <f>"394"</f>
        <v>394</v>
      </c>
      <c r="G3651">
        <v>1</v>
      </c>
      <c r="H3651">
        <v>2023</v>
      </c>
      <c r="I3651" t="s">
        <v>3766</v>
      </c>
    </row>
    <row r="3652" spans="1:9" x14ac:dyDescent="0.3">
      <c r="A3652" t="s">
        <v>10163</v>
      </c>
      <c r="B3652" t="s">
        <v>57</v>
      </c>
      <c r="C3652">
        <v>8989697390</v>
      </c>
      <c r="D3652" s="2">
        <v>1</v>
      </c>
      <c r="E3652" t="str">
        <f>"4574674200817708"</f>
        <v>4574674200817708</v>
      </c>
      <c r="F3652" t="str">
        <f>"403"</f>
        <v>403</v>
      </c>
      <c r="G3652">
        <v>1</v>
      </c>
      <c r="H3652">
        <v>2023</v>
      </c>
      <c r="I3652" t="s">
        <v>3767</v>
      </c>
    </row>
    <row r="3653" spans="1:9" x14ac:dyDescent="0.3">
      <c r="A3653" t="s">
        <v>10163</v>
      </c>
      <c r="B3653" t="s">
        <v>57</v>
      </c>
      <c r="C3653">
        <v>8989697390</v>
      </c>
      <c r="D3653" s="2">
        <v>1</v>
      </c>
      <c r="E3653" t="str">
        <f>"4574674200817849"</f>
        <v>4574674200817849</v>
      </c>
      <c r="F3653" t="str">
        <f>"164"</f>
        <v>164</v>
      </c>
      <c r="G3653">
        <v>1</v>
      </c>
      <c r="H3653">
        <v>2023</v>
      </c>
      <c r="I3653" t="s">
        <v>3768</v>
      </c>
    </row>
    <row r="3654" spans="1:9" x14ac:dyDescent="0.3">
      <c r="A3654" t="s">
        <v>10163</v>
      </c>
      <c r="B3654" t="s">
        <v>57</v>
      </c>
      <c r="C3654">
        <v>8989697390</v>
      </c>
      <c r="D3654" s="2">
        <v>1</v>
      </c>
      <c r="E3654" t="str">
        <f>"4574674200817724"</f>
        <v>4574674200817724</v>
      </c>
      <c r="F3654" t="str">
        <f>"663"</f>
        <v>663</v>
      </c>
      <c r="G3654">
        <v>1</v>
      </c>
      <c r="H3654">
        <v>2023</v>
      </c>
      <c r="I3654" t="s">
        <v>3769</v>
      </c>
    </row>
    <row r="3655" spans="1:9" x14ac:dyDescent="0.3">
      <c r="A3655" t="s">
        <v>10163</v>
      </c>
      <c r="B3655" t="s">
        <v>57</v>
      </c>
      <c r="C3655">
        <v>8989697390</v>
      </c>
      <c r="D3655" s="2">
        <v>1</v>
      </c>
      <c r="E3655" t="str">
        <f>"4574674200817732"</f>
        <v>4574674200817732</v>
      </c>
      <c r="F3655" t="str">
        <f>"566"</f>
        <v>566</v>
      </c>
      <c r="G3655">
        <v>1</v>
      </c>
      <c r="H3655">
        <v>2023</v>
      </c>
      <c r="I3655" t="s">
        <v>3770</v>
      </c>
    </row>
    <row r="3656" spans="1:9" x14ac:dyDescent="0.3">
      <c r="A3656" t="s">
        <v>10163</v>
      </c>
      <c r="B3656" t="s">
        <v>57</v>
      </c>
      <c r="C3656">
        <v>8989697390</v>
      </c>
      <c r="D3656" s="2">
        <v>1</v>
      </c>
      <c r="E3656" t="str">
        <f>"4574674200818003"</f>
        <v>4574674200818003</v>
      </c>
      <c r="F3656" t="str">
        <f>"800"</f>
        <v>800</v>
      </c>
      <c r="G3656">
        <v>1</v>
      </c>
      <c r="H3656">
        <v>2023</v>
      </c>
      <c r="I3656" t="s">
        <v>3771</v>
      </c>
    </row>
    <row r="3657" spans="1:9" x14ac:dyDescent="0.3">
      <c r="A3657" t="s">
        <v>10163</v>
      </c>
      <c r="B3657" t="s">
        <v>57</v>
      </c>
      <c r="C3657">
        <v>8989697390</v>
      </c>
      <c r="D3657" s="2">
        <v>1</v>
      </c>
      <c r="E3657" t="str">
        <f>"4574674200818011"</f>
        <v>4574674200818011</v>
      </c>
      <c r="F3657" t="str">
        <f>"150"</f>
        <v>150</v>
      </c>
      <c r="G3657">
        <v>1</v>
      </c>
      <c r="H3657">
        <v>2023</v>
      </c>
      <c r="I3657" t="s">
        <v>3772</v>
      </c>
    </row>
    <row r="3658" spans="1:9" x14ac:dyDescent="0.3">
      <c r="A3658" t="s">
        <v>10163</v>
      </c>
      <c r="B3658" t="s">
        <v>57</v>
      </c>
      <c r="C3658">
        <v>8989697390</v>
      </c>
      <c r="D3658" s="2">
        <v>1</v>
      </c>
      <c r="E3658" t="str">
        <f>"4574674200818052"</f>
        <v>4574674200818052</v>
      </c>
      <c r="F3658" t="str">
        <f>"301"</f>
        <v>301</v>
      </c>
      <c r="G3658">
        <v>1</v>
      </c>
      <c r="H3658">
        <v>2023</v>
      </c>
      <c r="I3658" t="s">
        <v>3773</v>
      </c>
    </row>
    <row r="3659" spans="1:9" x14ac:dyDescent="0.3">
      <c r="A3659" t="s">
        <v>10163</v>
      </c>
      <c r="B3659" t="s">
        <v>57</v>
      </c>
      <c r="C3659">
        <v>8989697390</v>
      </c>
      <c r="D3659" s="2">
        <v>1</v>
      </c>
      <c r="E3659" t="str">
        <f>"4574674200818078"</f>
        <v>4574674200818078</v>
      </c>
      <c r="F3659" t="str">
        <f>"655"</f>
        <v>655</v>
      </c>
      <c r="G3659">
        <v>1</v>
      </c>
      <c r="H3659">
        <v>2023</v>
      </c>
      <c r="I3659" t="s">
        <v>3774</v>
      </c>
    </row>
    <row r="3660" spans="1:9" x14ac:dyDescent="0.3">
      <c r="A3660" t="s">
        <v>10164</v>
      </c>
      <c r="B3660" t="s">
        <v>58</v>
      </c>
      <c r="C3660">
        <v>8989697390</v>
      </c>
      <c r="D3660" s="2">
        <v>1</v>
      </c>
      <c r="E3660" t="str">
        <f>"4574674200818086"</f>
        <v>4574674200818086</v>
      </c>
      <c r="F3660" t="str">
        <f>"846"</f>
        <v>846</v>
      </c>
      <c r="G3660">
        <v>1</v>
      </c>
      <c r="H3660">
        <v>2023</v>
      </c>
      <c r="I3660" t="s">
        <v>3775</v>
      </c>
    </row>
    <row r="3661" spans="1:9" x14ac:dyDescent="0.3">
      <c r="A3661" t="s">
        <v>10164</v>
      </c>
      <c r="B3661" t="s">
        <v>58</v>
      </c>
      <c r="C3661">
        <v>8989697390</v>
      </c>
      <c r="D3661" s="2">
        <v>1</v>
      </c>
      <c r="E3661" t="str">
        <f>"4574674200817930"</f>
        <v>4574674200817930</v>
      </c>
      <c r="F3661" t="str">
        <f>"710"</f>
        <v>710</v>
      </c>
      <c r="G3661">
        <v>1</v>
      </c>
      <c r="H3661">
        <v>2023</v>
      </c>
      <c r="I3661" t="s">
        <v>3776</v>
      </c>
    </row>
    <row r="3662" spans="1:9" x14ac:dyDescent="0.3">
      <c r="A3662" t="s">
        <v>10164</v>
      </c>
      <c r="B3662" t="s">
        <v>58</v>
      </c>
      <c r="C3662">
        <v>8989697390</v>
      </c>
      <c r="D3662" s="2">
        <v>1</v>
      </c>
      <c r="E3662" t="str">
        <f>"4574674200817955"</f>
        <v>4574674200817955</v>
      </c>
      <c r="F3662" t="str">
        <f>"069"</f>
        <v>069</v>
      </c>
      <c r="G3662">
        <v>1</v>
      </c>
      <c r="H3662">
        <v>2023</v>
      </c>
      <c r="I3662" t="s">
        <v>3777</v>
      </c>
    </row>
    <row r="3663" spans="1:9" x14ac:dyDescent="0.3">
      <c r="A3663" t="s">
        <v>10164</v>
      </c>
      <c r="B3663" t="s">
        <v>58</v>
      </c>
      <c r="C3663">
        <v>8989697390</v>
      </c>
      <c r="D3663" s="2">
        <v>1</v>
      </c>
      <c r="E3663" t="str">
        <f>"4574674200818417"</f>
        <v>4574674200818417</v>
      </c>
      <c r="F3663" t="str">
        <f>"806"</f>
        <v>806</v>
      </c>
      <c r="G3663">
        <v>1</v>
      </c>
      <c r="H3663">
        <v>2023</v>
      </c>
      <c r="I3663" t="s">
        <v>3778</v>
      </c>
    </row>
    <row r="3664" spans="1:9" x14ac:dyDescent="0.3">
      <c r="A3664" t="s">
        <v>10164</v>
      </c>
      <c r="B3664" t="s">
        <v>58</v>
      </c>
      <c r="C3664">
        <v>8989697390</v>
      </c>
      <c r="D3664" s="2">
        <v>1</v>
      </c>
      <c r="E3664" t="str">
        <f>"4574674200818177"</f>
        <v>4574674200818177</v>
      </c>
      <c r="F3664" t="str">
        <f>"152"</f>
        <v>152</v>
      </c>
      <c r="G3664">
        <v>1</v>
      </c>
      <c r="H3664">
        <v>2023</v>
      </c>
      <c r="I3664" t="s">
        <v>3779</v>
      </c>
    </row>
    <row r="3665" spans="1:9" x14ac:dyDescent="0.3">
      <c r="A3665" t="s">
        <v>10164</v>
      </c>
      <c r="B3665" t="s">
        <v>58</v>
      </c>
      <c r="C3665">
        <v>8989697390</v>
      </c>
      <c r="D3665" s="2">
        <v>1</v>
      </c>
      <c r="E3665" t="str">
        <f>"4574674200818185"</f>
        <v>4574674200818185</v>
      </c>
      <c r="F3665" t="str">
        <f>"943"</f>
        <v>943</v>
      </c>
      <c r="G3665">
        <v>1</v>
      </c>
      <c r="H3665">
        <v>2023</v>
      </c>
      <c r="I3665" t="s">
        <v>3780</v>
      </c>
    </row>
    <row r="3666" spans="1:9" x14ac:dyDescent="0.3">
      <c r="A3666" t="s">
        <v>10164</v>
      </c>
      <c r="B3666" t="s">
        <v>58</v>
      </c>
      <c r="C3666">
        <v>8989697390</v>
      </c>
      <c r="D3666" s="2">
        <v>1</v>
      </c>
      <c r="E3666" t="str">
        <f>"4574674200818425"</f>
        <v>4574674200818425</v>
      </c>
      <c r="F3666" t="str">
        <f>"447"</f>
        <v>447</v>
      </c>
      <c r="G3666">
        <v>1</v>
      </c>
      <c r="H3666">
        <v>2023</v>
      </c>
      <c r="I3666" t="s">
        <v>3781</v>
      </c>
    </row>
    <row r="3667" spans="1:9" x14ac:dyDescent="0.3">
      <c r="A3667" t="s">
        <v>10164</v>
      </c>
      <c r="B3667" t="s">
        <v>58</v>
      </c>
      <c r="C3667">
        <v>8989697390</v>
      </c>
      <c r="D3667" s="2">
        <v>1</v>
      </c>
      <c r="E3667" t="str">
        <f>"4574674200818482"</f>
        <v>4574674200818482</v>
      </c>
      <c r="F3667" t="str">
        <f>"732"</f>
        <v>732</v>
      </c>
      <c r="G3667">
        <v>1</v>
      </c>
      <c r="H3667">
        <v>2023</v>
      </c>
      <c r="I3667" t="s">
        <v>3782</v>
      </c>
    </row>
    <row r="3668" spans="1:9" x14ac:dyDescent="0.3">
      <c r="A3668" t="s">
        <v>10164</v>
      </c>
      <c r="B3668" t="s">
        <v>58</v>
      </c>
      <c r="C3668">
        <v>8989697390</v>
      </c>
      <c r="D3668" s="2">
        <v>1</v>
      </c>
      <c r="E3668" t="str">
        <f>"4574674200818292"</f>
        <v>4574674200818292</v>
      </c>
      <c r="F3668" t="str">
        <f>"991"</f>
        <v>991</v>
      </c>
      <c r="G3668">
        <v>1</v>
      </c>
      <c r="H3668">
        <v>2023</v>
      </c>
      <c r="I3668" t="s">
        <v>3783</v>
      </c>
    </row>
    <row r="3669" spans="1:9" x14ac:dyDescent="0.3">
      <c r="A3669" t="s">
        <v>10164</v>
      </c>
      <c r="B3669" t="s">
        <v>58</v>
      </c>
      <c r="C3669">
        <v>8989697390</v>
      </c>
      <c r="D3669" s="2">
        <v>1</v>
      </c>
      <c r="E3669" t="str">
        <f>"4574674200818342"</f>
        <v>4574674200818342</v>
      </c>
      <c r="F3669" t="str">
        <f>"890"</f>
        <v>890</v>
      </c>
      <c r="G3669">
        <v>1</v>
      </c>
      <c r="H3669">
        <v>2023</v>
      </c>
      <c r="I3669" t="s">
        <v>3784</v>
      </c>
    </row>
    <row r="3670" spans="1:9" x14ac:dyDescent="0.3">
      <c r="A3670" t="s">
        <v>10124</v>
      </c>
      <c r="B3670" t="s">
        <v>79</v>
      </c>
      <c r="C3670">
        <v>8989697390</v>
      </c>
      <c r="D3670" s="2">
        <v>1</v>
      </c>
      <c r="E3670" t="str">
        <f>"4574674200818524"</f>
        <v>4574674200818524</v>
      </c>
      <c r="F3670" t="str">
        <f>"690"</f>
        <v>690</v>
      </c>
      <c r="G3670">
        <v>1</v>
      </c>
      <c r="H3670">
        <v>2023</v>
      </c>
      <c r="I3670" t="s">
        <v>3785</v>
      </c>
    </row>
    <row r="3671" spans="1:9" x14ac:dyDescent="0.3">
      <c r="A3671" t="s">
        <v>10124</v>
      </c>
      <c r="B3671" t="s">
        <v>79</v>
      </c>
      <c r="C3671">
        <v>8989697390</v>
      </c>
      <c r="D3671" s="2">
        <v>1</v>
      </c>
      <c r="E3671" t="str">
        <f>"4574674200818532"</f>
        <v>4574674200818532</v>
      </c>
      <c r="F3671" t="str">
        <f>"583"</f>
        <v>583</v>
      </c>
      <c r="G3671">
        <v>1</v>
      </c>
      <c r="H3671">
        <v>2023</v>
      </c>
      <c r="I3671" t="s">
        <v>3786</v>
      </c>
    </row>
    <row r="3672" spans="1:9" x14ac:dyDescent="0.3">
      <c r="A3672" t="s">
        <v>10124</v>
      </c>
      <c r="B3672" t="s">
        <v>79</v>
      </c>
      <c r="C3672">
        <v>8989697390</v>
      </c>
      <c r="D3672" s="2">
        <v>1</v>
      </c>
      <c r="E3672" t="str">
        <f>"4574674200818565"</f>
        <v>4574674200818565</v>
      </c>
      <c r="F3672" t="str">
        <f>"097"</f>
        <v>097</v>
      </c>
      <c r="G3672">
        <v>1</v>
      </c>
      <c r="H3672">
        <v>2023</v>
      </c>
      <c r="I3672" t="s">
        <v>3787</v>
      </c>
    </row>
    <row r="3673" spans="1:9" x14ac:dyDescent="0.3">
      <c r="A3673" t="s">
        <v>10124</v>
      </c>
      <c r="B3673" t="s">
        <v>79</v>
      </c>
      <c r="C3673">
        <v>8989697390</v>
      </c>
      <c r="D3673" s="2">
        <v>1</v>
      </c>
      <c r="E3673" t="str">
        <f>"4574674200818573"</f>
        <v>4574674200818573</v>
      </c>
      <c r="F3673" t="str">
        <f>"615"</f>
        <v>615</v>
      </c>
      <c r="G3673">
        <v>1</v>
      </c>
      <c r="H3673">
        <v>2023</v>
      </c>
      <c r="I3673" t="s">
        <v>3788</v>
      </c>
    </row>
    <row r="3674" spans="1:9" x14ac:dyDescent="0.3">
      <c r="A3674" t="s">
        <v>10124</v>
      </c>
      <c r="B3674" t="s">
        <v>79</v>
      </c>
      <c r="C3674">
        <v>8989697390</v>
      </c>
      <c r="D3674" s="2">
        <v>1</v>
      </c>
      <c r="E3674" t="str">
        <f>"4574674200818656"</f>
        <v>4574674200818656</v>
      </c>
      <c r="F3674" t="str">
        <f>"587"</f>
        <v>587</v>
      </c>
      <c r="G3674">
        <v>1</v>
      </c>
      <c r="H3674">
        <v>2023</v>
      </c>
      <c r="I3674" t="s">
        <v>3789</v>
      </c>
    </row>
    <row r="3675" spans="1:9" x14ac:dyDescent="0.3">
      <c r="A3675" t="s">
        <v>10124</v>
      </c>
      <c r="B3675" t="s">
        <v>79</v>
      </c>
      <c r="C3675">
        <v>8989697390</v>
      </c>
      <c r="D3675" s="2">
        <v>1</v>
      </c>
      <c r="E3675" t="str">
        <f>"4574674200818847"</f>
        <v>4574674200818847</v>
      </c>
      <c r="F3675" t="str">
        <f>"053"</f>
        <v>053</v>
      </c>
      <c r="G3675">
        <v>1</v>
      </c>
      <c r="H3675">
        <v>2023</v>
      </c>
      <c r="I3675" t="s">
        <v>3790</v>
      </c>
    </row>
    <row r="3676" spans="1:9" x14ac:dyDescent="0.3">
      <c r="A3676" t="s">
        <v>10124</v>
      </c>
      <c r="B3676" t="s">
        <v>79</v>
      </c>
      <c r="C3676">
        <v>8989697390</v>
      </c>
      <c r="D3676" s="2">
        <v>1</v>
      </c>
      <c r="E3676" t="str">
        <f>"4574674200818839"</f>
        <v>4574674200818839</v>
      </c>
      <c r="F3676" t="str">
        <f>"032"</f>
        <v>032</v>
      </c>
      <c r="G3676">
        <v>1</v>
      </c>
      <c r="H3676">
        <v>2023</v>
      </c>
      <c r="I3676" t="s">
        <v>3791</v>
      </c>
    </row>
    <row r="3677" spans="1:9" x14ac:dyDescent="0.3">
      <c r="A3677" t="s">
        <v>10124</v>
      </c>
      <c r="B3677" t="s">
        <v>79</v>
      </c>
      <c r="C3677">
        <v>8989697390</v>
      </c>
      <c r="D3677" s="2">
        <v>1</v>
      </c>
      <c r="E3677" t="str">
        <f>"4574674200818680"</f>
        <v>4574674200818680</v>
      </c>
      <c r="F3677" t="str">
        <f>"537"</f>
        <v>537</v>
      </c>
      <c r="G3677">
        <v>1</v>
      </c>
      <c r="H3677">
        <v>2023</v>
      </c>
      <c r="I3677" t="s">
        <v>3792</v>
      </c>
    </row>
    <row r="3678" spans="1:9" x14ac:dyDescent="0.3">
      <c r="A3678" t="s">
        <v>10124</v>
      </c>
      <c r="B3678" t="s">
        <v>79</v>
      </c>
      <c r="C3678">
        <v>8989697390</v>
      </c>
      <c r="D3678" s="2">
        <v>1</v>
      </c>
      <c r="E3678" t="str">
        <f>"4574674200818664"</f>
        <v>4574674200818664</v>
      </c>
      <c r="F3678" t="str">
        <f>"128"</f>
        <v>128</v>
      </c>
      <c r="G3678">
        <v>1</v>
      </c>
      <c r="H3678">
        <v>2023</v>
      </c>
      <c r="I3678" t="s">
        <v>3793</v>
      </c>
    </row>
    <row r="3679" spans="1:9" x14ac:dyDescent="0.3">
      <c r="A3679" t="s">
        <v>10124</v>
      </c>
      <c r="B3679" t="s">
        <v>79</v>
      </c>
      <c r="C3679">
        <v>8989697390</v>
      </c>
      <c r="D3679" s="2">
        <v>1</v>
      </c>
      <c r="E3679" t="str">
        <f>"4574674200818755"</f>
        <v>4574674200818755</v>
      </c>
      <c r="F3679" t="str">
        <f>"417"</f>
        <v>417</v>
      </c>
      <c r="G3679">
        <v>1</v>
      </c>
      <c r="H3679">
        <v>2023</v>
      </c>
      <c r="I3679" t="s">
        <v>3794</v>
      </c>
    </row>
    <row r="3680" spans="1:9" x14ac:dyDescent="0.3">
      <c r="A3680" t="s">
        <v>10125</v>
      </c>
      <c r="B3680" t="s">
        <v>80</v>
      </c>
      <c r="C3680">
        <v>8989697390</v>
      </c>
      <c r="D3680" s="2">
        <v>1</v>
      </c>
      <c r="E3680" t="str">
        <f>"4574674200818771"</f>
        <v>4574674200818771</v>
      </c>
      <c r="F3680" t="str">
        <f>"212"</f>
        <v>212</v>
      </c>
      <c r="G3680">
        <v>1</v>
      </c>
      <c r="H3680">
        <v>2023</v>
      </c>
      <c r="I3680" t="s">
        <v>3795</v>
      </c>
    </row>
    <row r="3681" spans="1:9" x14ac:dyDescent="0.3">
      <c r="A3681" t="s">
        <v>10125</v>
      </c>
      <c r="B3681" t="s">
        <v>80</v>
      </c>
      <c r="C3681">
        <v>8989697390</v>
      </c>
      <c r="D3681" s="2">
        <v>1</v>
      </c>
      <c r="E3681" t="str">
        <f>"4574674200819001"</f>
        <v>4574674200819001</v>
      </c>
      <c r="F3681" t="str">
        <f>"981"</f>
        <v>981</v>
      </c>
      <c r="G3681">
        <v>1</v>
      </c>
      <c r="H3681">
        <v>2023</v>
      </c>
      <c r="I3681" t="s">
        <v>3796</v>
      </c>
    </row>
    <row r="3682" spans="1:9" x14ac:dyDescent="0.3">
      <c r="A3682" t="s">
        <v>10125</v>
      </c>
      <c r="B3682" t="s">
        <v>80</v>
      </c>
      <c r="C3682">
        <v>8989697390</v>
      </c>
      <c r="D3682" s="2">
        <v>1</v>
      </c>
      <c r="E3682" t="str">
        <f>"4574674200818953"</f>
        <v>4574674200818953</v>
      </c>
      <c r="F3682" t="str">
        <f>"737"</f>
        <v>737</v>
      </c>
      <c r="G3682">
        <v>1</v>
      </c>
      <c r="H3682">
        <v>2023</v>
      </c>
      <c r="I3682" t="s">
        <v>3797</v>
      </c>
    </row>
    <row r="3683" spans="1:9" x14ac:dyDescent="0.3">
      <c r="A3683" t="s">
        <v>10125</v>
      </c>
      <c r="B3683" t="s">
        <v>80</v>
      </c>
      <c r="C3683">
        <v>8989697390</v>
      </c>
      <c r="D3683" s="2">
        <v>1</v>
      </c>
      <c r="E3683" t="str">
        <f>"4574674200818912"</f>
        <v>4574674200818912</v>
      </c>
      <c r="F3683" t="str">
        <f>"312"</f>
        <v>312</v>
      </c>
      <c r="G3683">
        <v>1</v>
      </c>
      <c r="H3683">
        <v>2023</v>
      </c>
      <c r="I3683" t="s">
        <v>3798</v>
      </c>
    </row>
    <row r="3684" spans="1:9" x14ac:dyDescent="0.3">
      <c r="A3684" t="s">
        <v>10125</v>
      </c>
      <c r="B3684" t="s">
        <v>80</v>
      </c>
      <c r="C3684">
        <v>8989697390</v>
      </c>
      <c r="D3684" s="2">
        <v>1</v>
      </c>
      <c r="E3684" t="str">
        <f>"4574674200819076"</f>
        <v>4574674200819076</v>
      </c>
      <c r="F3684" t="str">
        <f>"931"</f>
        <v>931</v>
      </c>
      <c r="G3684">
        <v>1</v>
      </c>
      <c r="H3684">
        <v>2023</v>
      </c>
      <c r="I3684" t="s">
        <v>3799</v>
      </c>
    </row>
    <row r="3685" spans="1:9" x14ac:dyDescent="0.3">
      <c r="A3685" t="s">
        <v>10125</v>
      </c>
      <c r="B3685" t="s">
        <v>80</v>
      </c>
      <c r="C3685">
        <v>8989697390</v>
      </c>
      <c r="D3685" s="2">
        <v>1</v>
      </c>
      <c r="E3685" t="str">
        <f>"4574674200819027"</f>
        <v>4574674200819027</v>
      </c>
      <c r="F3685" t="str">
        <f>"538"</f>
        <v>538</v>
      </c>
      <c r="G3685">
        <v>1</v>
      </c>
      <c r="H3685">
        <v>2023</v>
      </c>
      <c r="I3685" t="s">
        <v>3800</v>
      </c>
    </row>
    <row r="3686" spans="1:9" x14ac:dyDescent="0.3">
      <c r="A3686" t="s">
        <v>10125</v>
      </c>
      <c r="B3686" t="s">
        <v>80</v>
      </c>
      <c r="C3686">
        <v>8989697390</v>
      </c>
      <c r="D3686" s="2">
        <v>1</v>
      </c>
      <c r="E3686" t="str">
        <f>"4574674200819068"</f>
        <v>4574674200819068</v>
      </c>
      <c r="F3686" t="str">
        <f>"433"</f>
        <v>433</v>
      </c>
      <c r="G3686">
        <v>1</v>
      </c>
      <c r="H3686">
        <v>2023</v>
      </c>
      <c r="I3686" t="s">
        <v>3801</v>
      </c>
    </row>
    <row r="3687" spans="1:9" x14ac:dyDescent="0.3">
      <c r="A3687" t="s">
        <v>10125</v>
      </c>
      <c r="B3687" t="s">
        <v>80</v>
      </c>
      <c r="C3687">
        <v>8989697390</v>
      </c>
      <c r="D3687" s="2">
        <v>1</v>
      </c>
      <c r="E3687" t="str">
        <f>"4574674200819159"</f>
        <v>4574674200819159</v>
      </c>
      <c r="F3687" t="str">
        <f>"212"</f>
        <v>212</v>
      </c>
      <c r="G3687">
        <v>1</v>
      </c>
      <c r="H3687">
        <v>2023</v>
      </c>
      <c r="I3687" t="s">
        <v>3802</v>
      </c>
    </row>
    <row r="3688" spans="1:9" x14ac:dyDescent="0.3">
      <c r="A3688" t="s">
        <v>10125</v>
      </c>
      <c r="B3688" t="s">
        <v>80</v>
      </c>
      <c r="C3688">
        <v>8989697390</v>
      </c>
      <c r="D3688" s="2">
        <v>1</v>
      </c>
      <c r="E3688" t="str">
        <f>"4574674200819175"</f>
        <v>4574674200819175</v>
      </c>
      <c r="F3688" t="str">
        <f>"678"</f>
        <v>678</v>
      </c>
      <c r="G3688">
        <v>1</v>
      </c>
      <c r="H3688">
        <v>2023</v>
      </c>
      <c r="I3688" t="s">
        <v>3803</v>
      </c>
    </row>
    <row r="3689" spans="1:9" x14ac:dyDescent="0.3">
      <c r="A3689" t="s">
        <v>10125</v>
      </c>
      <c r="B3689" t="s">
        <v>80</v>
      </c>
      <c r="C3689">
        <v>8989697390</v>
      </c>
      <c r="D3689" s="2">
        <v>1</v>
      </c>
      <c r="E3689" t="str">
        <f>"4574674200819217"</f>
        <v>4574674200819217</v>
      </c>
      <c r="F3689" t="str">
        <f>"962"</f>
        <v>962</v>
      </c>
      <c r="G3689">
        <v>1</v>
      </c>
      <c r="H3689">
        <v>2023</v>
      </c>
      <c r="I3689" t="s">
        <v>3804</v>
      </c>
    </row>
    <row r="3690" spans="1:9" x14ac:dyDescent="0.3">
      <c r="A3690" t="s">
        <v>10169</v>
      </c>
      <c r="B3690" t="s">
        <v>70</v>
      </c>
      <c r="C3690">
        <v>8989697390</v>
      </c>
      <c r="D3690" s="2">
        <v>1</v>
      </c>
      <c r="E3690" t="str">
        <f>"4574674200819241"</f>
        <v>4574674200819241</v>
      </c>
      <c r="F3690" t="str">
        <f>"875"</f>
        <v>875</v>
      </c>
      <c r="G3690">
        <v>1</v>
      </c>
      <c r="H3690">
        <v>2023</v>
      </c>
      <c r="I3690" t="s">
        <v>3805</v>
      </c>
    </row>
    <row r="3691" spans="1:9" x14ac:dyDescent="0.3">
      <c r="A3691" t="s">
        <v>10169</v>
      </c>
      <c r="B3691" t="s">
        <v>70</v>
      </c>
      <c r="C3691">
        <v>8989697390</v>
      </c>
      <c r="D3691" s="2">
        <v>1</v>
      </c>
      <c r="E3691" t="str">
        <f>"4574674200819183"</f>
        <v>4574674200819183</v>
      </c>
      <c r="F3691" t="str">
        <f>"240"</f>
        <v>240</v>
      </c>
      <c r="G3691">
        <v>1</v>
      </c>
      <c r="H3691">
        <v>2023</v>
      </c>
      <c r="I3691" t="s">
        <v>3806</v>
      </c>
    </row>
    <row r="3692" spans="1:9" x14ac:dyDescent="0.3">
      <c r="A3692" t="s">
        <v>10169</v>
      </c>
      <c r="B3692" t="s">
        <v>70</v>
      </c>
      <c r="C3692">
        <v>8989697390</v>
      </c>
      <c r="D3692" s="2">
        <v>1</v>
      </c>
      <c r="E3692" t="str">
        <f>"4574674200819407"</f>
        <v>4574674200819407</v>
      </c>
      <c r="F3692" t="str">
        <f>"415"</f>
        <v>415</v>
      </c>
      <c r="G3692">
        <v>1</v>
      </c>
      <c r="H3692">
        <v>2023</v>
      </c>
      <c r="I3692" t="s">
        <v>3807</v>
      </c>
    </row>
    <row r="3693" spans="1:9" x14ac:dyDescent="0.3">
      <c r="A3693" t="s">
        <v>10169</v>
      </c>
      <c r="B3693" t="s">
        <v>70</v>
      </c>
      <c r="C3693">
        <v>8989697390</v>
      </c>
      <c r="D3693" s="2">
        <v>1</v>
      </c>
      <c r="E3693" t="str">
        <f>"4574674200819472"</f>
        <v>4574674200819472</v>
      </c>
      <c r="F3693" t="str">
        <f>"880"</f>
        <v>880</v>
      </c>
      <c r="G3693">
        <v>1</v>
      </c>
      <c r="H3693">
        <v>2023</v>
      </c>
      <c r="I3693" t="s">
        <v>3808</v>
      </c>
    </row>
    <row r="3694" spans="1:9" x14ac:dyDescent="0.3">
      <c r="A3694" t="s">
        <v>10169</v>
      </c>
      <c r="B3694" t="s">
        <v>70</v>
      </c>
      <c r="C3694">
        <v>8989697390</v>
      </c>
      <c r="D3694" s="2">
        <v>1</v>
      </c>
      <c r="E3694" t="str">
        <f>"4574674200819423"</f>
        <v>4574674200819423</v>
      </c>
      <c r="F3694" t="str">
        <f>"197"</f>
        <v>197</v>
      </c>
      <c r="G3694">
        <v>1</v>
      </c>
      <c r="H3694">
        <v>2023</v>
      </c>
      <c r="I3694" t="s">
        <v>3809</v>
      </c>
    </row>
    <row r="3695" spans="1:9" x14ac:dyDescent="0.3">
      <c r="A3695" t="s">
        <v>10169</v>
      </c>
      <c r="B3695" t="s">
        <v>70</v>
      </c>
      <c r="C3695">
        <v>8989697390</v>
      </c>
      <c r="D3695" s="2">
        <v>1</v>
      </c>
      <c r="E3695" t="str">
        <f>"4574674200819530"</f>
        <v>4574674200819530</v>
      </c>
      <c r="F3695" t="str">
        <f>"608"</f>
        <v>608</v>
      </c>
      <c r="G3695">
        <v>1</v>
      </c>
      <c r="H3695">
        <v>2023</v>
      </c>
      <c r="I3695" t="s">
        <v>3810</v>
      </c>
    </row>
    <row r="3696" spans="1:9" x14ac:dyDescent="0.3">
      <c r="A3696" t="s">
        <v>10169</v>
      </c>
      <c r="B3696" t="s">
        <v>70</v>
      </c>
      <c r="C3696">
        <v>8989697390</v>
      </c>
      <c r="D3696" s="2">
        <v>1</v>
      </c>
      <c r="E3696" t="str">
        <f>"4574674200819316"</f>
        <v>4574674200819316</v>
      </c>
      <c r="F3696" t="str">
        <f>"611"</f>
        <v>611</v>
      </c>
      <c r="G3696">
        <v>1</v>
      </c>
      <c r="H3696">
        <v>2023</v>
      </c>
      <c r="I3696" t="s">
        <v>3811</v>
      </c>
    </row>
    <row r="3697" spans="1:9" x14ac:dyDescent="0.3">
      <c r="A3697" t="s">
        <v>10169</v>
      </c>
      <c r="B3697" t="s">
        <v>70</v>
      </c>
      <c r="C3697">
        <v>8989697390</v>
      </c>
      <c r="D3697" s="2">
        <v>1</v>
      </c>
      <c r="E3697" t="str">
        <f>"4574674200819712"</f>
        <v>4574674200819712</v>
      </c>
      <c r="F3697" t="str">
        <f>"698"</f>
        <v>698</v>
      </c>
      <c r="G3697">
        <v>1</v>
      </c>
      <c r="H3697">
        <v>2023</v>
      </c>
      <c r="I3697" t="s">
        <v>3812</v>
      </c>
    </row>
    <row r="3698" spans="1:9" x14ac:dyDescent="0.3">
      <c r="A3698" t="s">
        <v>10169</v>
      </c>
      <c r="B3698" t="s">
        <v>70</v>
      </c>
      <c r="C3698">
        <v>8989697390</v>
      </c>
      <c r="D3698" s="2">
        <v>1</v>
      </c>
      <c r="E3698" t="str">
        <f>"4574674200819985"</f>
        <v>4574674200819985</v>
      </c>
      <c r="F3698" t="str">
        <f>"319"</f>
        <v>319</v>
      </c>
      <c r="G3698">
        <v>1</v>
      </c>
      <c r="H3698">
        <v>2023</v>
      </c>
      <c r="I3698" t="s">
        <v>3813</v>
      </c>
    </row>
    <row r="3699" spans="1:9" x14ac:dyDescent="0.3">
      <c r="A3699" t="s">
        <v>10169</v>
      </c>
      <c r="B3699" t="s">
        <v>70</v>
      </c>
      <c r="C3699">
        <v>8989697390</v>
      </c>
      <c r="D3699" s="2">
        <v>1</v>
      </c>
      <c r="E3699" t="str">
        <f>"4574674200819928"</f>
        <v>4574674200819928</v>
      </c>
      <c r="F3699" t="str">
        <f>"828"</f>
        <v>828</v>
      </c>
      <c r="G3699">
        <v>1</v>
      </c>
      <c r="H3699">
        <v>2023</v>
      </c>
      <c r="I3699" t="s">
        <v>3814</v>
      </c>
    </row>
    <row r="3700" spans="1:9" x14ac:dyDescent="0.3">
      <c r="A3700" t="s">
        <v>10128</v>
      </c>
      <c r="B3700" t="s">
        <v>71</v>
      </c>
      <c r="C3700">
        <v>8989697390</v>
      </c>
      <c r="D3700" s="2">
        <v>1</v>
      </c>
      <c r="E3700" t="str">
        <f>"4574674200820025"</f>
        <v>4574674200820025</v>
      </c>
      <c r="F3700" t="str">
        <f>"715"</f>
        <v>715</v>
      </c>
      <c r="G3700">
        <v>1</v>
      </c>
      <c r="H3700">
        <v>2023</v>
      </c>
      <c r="I3700" t="s">
        <v>3815</v>
      </c>
    </row>
    <row r="3701" spans="1:9" x14ac:dyDescent="0.3">
      <c r="A3701" t="s">
        <v>10128</v>
      </c>
      <c r="B3701" t="s">
        <v>71</v>
      </c>
      <c r="C3701">
        <v>8989697390</v>
      </c>
      <c r="D3701" s="2">
        <v>1</v>
      </c>
      <c r="E3701" t="str">
        <f>"4574674200819993"</f>
        <v>4574674200819993</v>
      </c>
      <c r="F3701" t="str">
        <f>"382"</f>
        <v>382</v>
      </c>
      <c r="G3701">
        <v>1</v>
      </c>
      <c r="H3701">
        <v>2023</v>
      </c>
      <c r="I3701" t="s">
        <v>3816</v>
      </c>
    </row>
    <row r="3702" spans="1:9" x14ac:dyDescent="0.3">
      <c r="A3702" t="s">
        <v>10128</v>
      </c>
      <c r="B3702" t="s">
        <v>71</v>
      </c>
      <c r="C3702">
        <v>8989697390</v>
      </c>
      <c r="D3702" s="2">
        <v>1</v>
      </c>
      <c r="E3702" t="str">
        <f>"4574674200820231"</f>
        <v>4574674200820231</v>
      </c>
      <c r="F3702" t="str">
        <f>"452"</f>
        <v>452</v>
      </c>
      <c r="G3702">
        <v>1</v>
      </c>
      <c r="H3702">
        <v>2023</v>
      </c>
      <c r="I3702" t="s">
        <v>3817</v>
      </c>
    </row>
    <row r="3703" spans="1:9" x14ac:dyDescent="0.3">
      <c r="A3703" t="s">
        <v>10128</v>
      </c>
      <c r="B3703" t="s">
        <v>71</v>
      </c>
      <c r="C3703">
        <v>8989697390</v>
      </c>
      <c r="D3703" s="2">
        <v>1</v>
      </c>
      <c r="E3703" t="str">
        <f>"4574674200820066"</f>
        <v>4574674200820066</v>
      </c>
      <c r="F3703" t="str">
        <f>"419"</f>
        <v>419</v>
      </c>
      <c r="G3703">
        <v>1</v>
      </c>
      <c r="H3703">
        <v>2023</v>
      </c>
      <c r="I3703" t="s">
        <v>3818</v>
      </c>
    </row>
    <row r="3704" spans="1:9" x14ac:dyDescent="0.3">
      <c r="A3704" t="s">
        <v>10128</v>
      </c>
      <c r="B3704" t="s">
        <v>71</v>
      </c>
      <c r="C3704">
        <v>8989697390</v>
      </c>
      <c r="D3704" s="2">
        <v>1</v>
      </c>
      <c r="E3704" t="str">
        <f>"4574674200820249"</f>
        <v>4574674200820249</v>
      </c>
      <c r="F3704" t="str">
        <f>"745"</f>
        <v>745</v>
      </c>
      <c r="G3704">
        <v>1</v>
      </c>
      <c r="H3704">
        <v>2023</v>
      </c>
      <c r="I3704" t="s">
        <v>3819</v>
      </c>
    </row>
    <row r="3705" spans="1:9" x14ac:dyDescent="0.3">
      <c r="A3705" t="s">
        <v>10128</v>
      </c>
      <c r="B3705" t="s">
        <v>71</v>
      </c>
      <c r="C3705">
        <v>8989697390</v>
      </c>
      <c r="D3705" s="2">
        <v>1</v>
      </c>
      <c r="E3705" t="str">
        <f>"4574674200820140"</f>
        <v>4574674200820140</v>
      </c>
      <c r="F3705" t="str">
        <f>"159"</f>
        <v>159</v>
      </c>
      <c r="G3705">
        <v>1</v>
      </c>
      <c r="H3705">
        <v>2023</v>
      </c>
      <c r="I3705" t="s">
        <v>3820</v>
      </c>
    </row>
    <row r="3706" spans="1:9" x14ac:dyDescent="0.3">
      <c r="A3706" t="s">
        <v>10128</v>
      </c>
      <c r="B3706" t="s">
        <v>71</v>
      </c>
      <c r="C3706">
        <v>8989697390</v>
      </c>
      <c r="D3706" s="2">
        <v>1</v>
      </c>
      <c r="E3706" t="str">
        <f>"4574674200820157"</f>
        <v>4574674200820157</v>
      </c>
      <c r="F3706" t="str">
        <f>"836"</f>
        <v>836</v>
      </c>
      <c r="G3706">
        <v>1</v>
      </c>
      <c r="H3706">
        <v>2023</v>
      </c>
      <c r="I3706" t="s">
        <v>3821</v>
      </c>
    </row>
    <row r="3707" spans="1:9" x14ac:dyDescent="0.3">
      <c r="A3707" t="s">
        <v>10128</v>
      </c>
      <c r="B3707" t="s">
        <v>71</v>
      </c>
      <c r="C3707">
        <v>8989697390</v>
      </c>
      <c r="D3707" s="2">
        <v>1</v>
      </c>
      <c r="E3707" t="str">
        <f>"4574674200820306"</f>
        <v>4574674200820306</v>
      </c>
      <c r="F3707" t="str">
        <f>"940"</f>
        <v>940</v>
      </c>
      <c r="G3707">
        <v>1</v>
      </c>
      <c r="H3707">
        <v>2023</v>
      </c>
      <c r="I3707" t="s">
        <v>3822</v>
      </c>
    </row>
    <row r="3708" spans="1:9" x14ac:dyDescent="0.3">
      <c r="A3708" t="s">
        <v>10128</v>
      </c>
      <c r="B3708" t="s">
        <v>71</v>
      </c>
      <c r="C3708">
        <v>8989697390</v>
      </c>
      <c r="D3708" s="2">
        <v>1</v>
      </c>
      <c r="E3708" t="str">
        <f>"4574674200820181"</f>
        <v>4574674200820181</v>
      </c>
      <c r="F3708" t="str">
        <f>"755"</f>
        <v>755</v>
      </c>
      <c r="G3708">
        <v>1</v>
      </c>
      <c r="H3708">
        <v>2023</v>
      </c>
      <c r="I3708" t="s">
        <v>3823</v>
      </c>
    </row>
    <row r="3709" spans="1:9" x14ac:dyDescent="0.3">
      <c r="A3709" t="s">
        <v>10128</v>
      </c>
      <c r="B3709" t="s">
        <v>71</v>
      </c>
      <c r="C3709">
        <v>8989697390</v>
      </c>
      <c r="D3709" s="2">
        <v>1</v>
      </c>
      <c r="E3709" t="str">
        <f>"4574674200820405"</f>
        <v>4574674200820405</v>
      </c>
      <c r="F3709" t="str">
        <f>"892"</f>
        <v>892</v>
      </c>
      <c r="G3709">
        <v>1</v>
      </c>
      <c r="H3709">
        <v>2023</v>
      </c>
      <c r="I3709" t="s">
        <v>3824</v>
      </c>
    </row>
    <row r="3710" spans="1:9" x14ac:dyDescent="0.3">
      <c r="A3710" t="s">
        <v>10129</v>
      </c>
      <c r="B3710" t="s">
        <v>72</v>
      </c>
      <c r="C3710">
        <v>8989697390</v>
      </c>
      <c r="D3710" s="2">
        <v>1</v>
      </c>
      <c r="E3710" t="str">
        <f>"4574674200820363"</f>
        <v>4574674200820363</v>
      </c>
      <c r="F3710" t="str">
        <f>"939"</f>
        <v>939</v>
      </c>
      <c r="G3710">
        <v>1</v>
      </c>
      <c r="H3710">
        <v>2023</v>
      </c>
      <c r="I3710" t="s">
        <v>3825</v>
      </c>
    </row>
    <row r="3711" spans="1:9" x14ac:dyDescent="0.3">
      <c r="A3711" t="s">
        <v>10129</v>
      </c>
      <c r="B3711" t="s">
        <v>72</v>
      </c>
      <c r="C3711">
        <v>8989697390</v>
      </c>
      <c r="D3711" s="2">
        <v>1</v>
      </c>
      <c r="E3711" t="str">
        <f>"4574674200820454"</f>
        <v>4574674200820454</v>
      </c>
      <c r="F3711" t="str">
        <f>"906"</f>
        <v>906</v>
      </c>
      <c r="G3711">
        <v>1</v>
      </c>
      <c r="H3711">
        <v>2023</v>
      </c>
      <c r="I3711" t="s">
        <v>3826</v>
      </c>
    </row>
    <row r="3712" spans="1:9" x14ac:dyDescent="0.3">
      <c r="A3712" t="s">
        <v>10129</v>
      </c>
      <c r="B3712" t="s">
        <v>72</v>
      </c>
      <c r="C3712">
        <v>8989697390</v>
      </c>
      <c r="D3712" s="2">
        <v>1</v>
      </c>
      <c r="E3712" t="str">
        <f>"4574674200820512"</f>
        <v>4574674200820512</v>
      </c>
      <c r="F3712" t="str">
        <f>"802"</f>
        <v>802</v>
      </c>
      <c r="G3712">
        <v>1</v>
      </c>
      <c r="H3712">
        <v>2023</v>
      </c>
      <c r="I3712" t="s">
        <v>3827</v>
      </c>
    </row>
    <row r="3713" spans="1:9" x14ac:dyDescent="0.3">
      <c r="A3713" t="s">
        <v>10129</v>
      </c>
      <c r="B3713" t="s">
        <v>72</v>
      </c>
      <c r="C3713">
        <v>8989697390</v>
      </c>
      <c r="D3713" s="2">
        <v>1</v>
      </c>
      <c r="E3713" t="str">
        <f>"4574674200820462"</f>
        <v>4574674200820462</v>
      </c>
      <c r="F3713" t="str">
        <f>"064"</f>
        <v>064</v>
      </c>
      <c r="G3713">
        <v>1</v>
      </c>
      <c r="H3713">
        <v>2023</v>
      </c>
      <c r="I3713" t="s">
        <v>3828</v>
      </c>
    </row>
    <row r="3714" spans="1:9" x14ac:dyDescent="0.3">
      <c r="A3714" t="s">
        <v>10129</v>
      </c>
      <c r="B3714" t="s">
        <v>72</v>
      </c>
      <c r="C3714">
        <v>8989697390</v>
      </c>
      <c r="D3714" s="2">
        <v>1</v>
      </c>
      <c r="E3714" t="str">
        <f>"4574674200820538"</f>
        <v>4574674200820538</v>
      </c>
      <c r="F3714" t="str">
        <f>"477"</f>
        <v>477</v>
      </c>
      <c r="G3714">
        <v>1</v>
      </c>
      <c r="H3714">
        <v>2023</v>
      </c>
      <c r="I3714" t="s">
        <v>3829</v>
      </c>
    </row>
    <row r="3715" spans="1:9" x14ac:dyDescent="0.3">
      <c r="A3715" t="s">
        <v>10129</v>
      </c>
      <c r="B3715" t="s">
        <v>72</v>
      </c>
      <c r="C3715">
        <v>8989697390</v>
      </c>
      <c r="D3715" s="2">
        <v>1</v>
      </c>
      <c r="E3715" t="str">
        <f>"4574674200820660"</f>
        <v>4574674200820660</v>
      </c>
      <c r="F3715" t="str">
        <f>"199"</f>
        <v>199</v>
      </c>
      <c r="G3715">
        <v>1</v>
      </c>
      <c r="H3715">
        <v>2023</v>
      </c>
      <c r="I3715" t="s">
        <v>3830</v>
      </c>
    </row>
    <row r="3716" spans="1:9" x14ac:dyDescent="0.3">
      <c r="A3716" t="s">
        <v>10129</v>
      </c>
      <c r="B3716" t="s">
        <v>72</v>
      </c>
      <c r="C3716">
        <v>8989697390</v>
      </c>
      <c r="D3716" s="2">
        <v>1</v>
      </c>
      <c r="E3716" t="str">
        <f>"4574674200820579"</f>
        <v>4574674200820579</v>
      </c>
      <c r="F3716" t="str">
        <f>"898"</f>
        <v>898</v>
      </c>
      <c r="G3716">
        <v>1</v>
      </c>
      <c r="H3716">
        <v>2023</v>
      </c>
      <c r="I3716" t="s">
        <v>3831</v>
      </c>
    </row>
    <row r="3717" spans="1:9" x14ac:dyDescent="0.3">
      <c r="A3717" t="s">
        <v>10129</v>
      </c>
      <c r="B3717" t="s">
        <v>72</v>
      </c>
      <c r="C3717">
        <v>8989697390</v>
      </c>
      <c r="D3717" s="2">
        <v>1</v>
      </c>
      <c r="E3717" t="str">
        <f>"4574674200820702"</f>
        <v>4574674200820702</v>
      </c>
      <c r="F3717" t="str">
        <f>"321"</f>
        <v>321</v>
      </c>
      <c r="G3717">
        <v>1</v>
      </c>
      <c r="H3717">
        <v>2023</v>
      </c>
      <c r="I3717" t="s">
        <v>3832</v>
      </c>
    </row>
    <row r="3718" spans="1:9" x14ac:dyDescent="0.3">
      <c r="A3718" t="s">
        <v>10129</v>
      </c>
      <c r="B3718" t="s">
        <v>72</v>
      </c>
      <c r="C3718">
        <v>8989697390</v>
      </c>
      <c r="D3718" s="2">
        <v>1</v>
      </c>
      <c r="E3718" t="str">
        <f>"4574674200820827"</f>
        <v>4574674200820827</v>
      </c>
      <c r="F3718" t="str">
        <f>"889"</f>
        <v>889</v>
      </c>
      <c r="G3718">
        <v>1</v>
      </c>
      <c r="H3718">
        <v>2023</v>
      </c>
      <c r="I3718" t="s">
        <v>3833</v>
      </c>
    </row>
    <row r="3719" spans="1:9" x14ac:dyDescent="0.3">
      <c r="A3719" t="s">
        <v>10129</v>
      </c>
      <c r="B3719" t="s">
        <v>72</v>
      </c>
      <c r="C3719">
        <v>8989697390</v>
      </c>
      <c r="D3719" s="2">
        <v>1</v>
      </c>
      <c r="E3719" t="str">
        <f>"4574674200820819"</f>
        <v>4574674200820819</v>
      </c>
      <c r="F3719" t="str">
        <f>"954"</f>
        <v>954</v>
      </c>
      <c r="G3719">
        <v>1</v>
      </c>
      <c r="H3719">
        <v>2023</v>
      </c>
      <c r="I3719" t="s">
        <v>3834</v>
      </c>
    </row>
    <row r="3720" spans="1:9" x14ac:dyDescent="0.3">
      <c r="A3720" t="s">
        <v>10170</v>
      </c>
      <c r="B3720" t="s">
        <v>73</v>
      </c>
      <c r="C3720">
        <v>8989697390</v>
      </c>
      <c r="D3720" s="2">
        <v>1</v>
      </c>
      <c r="E3720" t="str">
        <f>"4574674200820850"</f>
        <v>4574674200820850</v>
      </c>
      <c r="F3720" t="str">
        <f>"878"</f>
        <v>878</v>
      </c>
      <c r="G3720">
        <v>1</v>
      </c>
      <c r="H3720">
        <v>2023</v>
      </c>
      <c r="I3720" t="s">
        <v>3835</v>
      </c>
    </row>
    <row r="3721" spans="1:9" x14ac:dyDescent="0.3">
      <c r="A3721" t="s">
        <v>10170</v>
      </c>
      <c r="B3721" t="s">
        <v>73</v>
      </c>
      <c r="C3721">
        <v>8989697390</v>
      </c>
      <c r="D3721" s="2">
        <v>1</v>
      </c>
      <c r="E3721" t="str">
        <f>"4574674200820900"</f>
        <v>4574674200820900</v>
      </c>
      <c r="F3721" t="str">
        <f>"966"</f>
        <v>966</v>
      </c>
      <c r="G3721">
        <v>1</v>
      </c>
      <c r="H3721">
        <v>2023</v>
      </c>
      <c r="I3721" t="s">
        <v>3836</v>
      </c>
    </row>
    <row r="3722" spans="1:9" x14ac:dyDescent="0.3">
      <c r="A3722" t="s">
        <v>10170</v>
      </c>
      <c r="B3722" t="s">
        <v>73</v>
      </c>
      <c r="C3722">
        <v>8989697390</v>
      </c>
      <c r="D3722" s="2">
        <v>1</v>
      </c>
      <c r="E3722" t="str">
        <f>"4574674200820926"</f>
        <v>4574674200820926</v>
      </c>
      <c r="F3722" t="str">
        <f>"572"</f>
        <v>572</v>
      </c>
      <c r="G3722">
        <v>1</v>
      </c>
      <c r="H3722">
        <v>2023</v>
      </c>
      <c r="I3722" t="s">
        <v>3837</v>
      </c>
    </row>
    <row r="3723" spans="1:9" x14ac:dyDescent="0.3">
      <c r="A3723" t="s">
        <v>10170</v>
      </c>
      <c r="B3723" t="s">
        <v>73</v>
      </c>
      <c r="C3723">
        <v>8989697390</v>
      </c>
      <c r="D3723" s="2">
        <v>1</v>
      </c>
      <c r="E3723" t="str">
        <f>"4574674200820785"</f>
        <v>4574674200820785</v>
      </c>
      <c r="F3723" t="str">
        <f>"810"</f>
        <v>810</v>
      </c>
      <c r="G3723">
        <v>1</v>
      </c>
      <c r="H3723">
        <v>2023</v>
      </c>
      <c r="I3723" t="s">
        <v>3838</v>
      </c>
    </row>
    <row r="3724" spans="1:9" x14ac:dyDescent="0.3">
      <c r="A3724" t="s">
        <v>10170</v>
      </c>
      <c r="B3724" t="s">
        <v>73</v>
      </c>
      <c r="C3724">
        <v>8989697390</v>
      </c>
      <c r="D3724" s="2">
        <v>1</v>
      </c>
      <c r="E3724" t="str">
        <f>"4574674200821007"</f>
        <v>4574674200821007</v>
      </c>
      <c r="F3724" t="str">
        <f>"568"</f>
        <v>568</v>
      </c>
      <c r="G3724">
        <v>1</v>
      </c>
      <c r="H3724">
        <v>2023</v>
      </c>
      <c r="I3724" t="s">
        <v>3839</v>
      </c>
    </row>
    <row r="3725" spans="1:9" x14ac:dyDescent="0.3">
      <c r="A3725" t="s">
        <v>10170</v>
      </c>
      <c r="B3725" t="s">
        <v>73</v>
      </c>
      <c r="C3725">
        <v>8989697390</v>
      </c>
      <c r="D3725" s="2">
        <v>1</v>
      </c>
      <c r="E3725" t="str">
        <f>"4574674200820983"</f>
        <v>4574674200820983</v>
      </c>
      <c r="F3725" t="str">
        <f>"041"</f>
        <v>041</v>
      </c>
      <c r="G3725">
        <v>1</v>
      </c>
      <c r="H3725">
        <v>2023</v>
      </c>
      <c r="I3725" t="s">
        <v>3840</v>
      </c>
    </row>
    <row r="3726" spans="1:9" x14ac:dyDescent="0.3">
      <c r="A3726" t="s">
        <v>10170</v>
      </c>
      <c r="B3726" t="s">
        <v>73</v>
      </c>
      <c r="C3726">
        <v>8989697390</v>
      </c>
      <c r="D3726" s="2">
        <v>1</v>
      </c>
      <c r="E3726" t="str">
        <f>"4574674200821213"</f>
        <v>4574674200821213</v>
      </c>
      <c r="F3726" t="str">
        <f>"828"</f>
        <v>828</v>
      </c>
      <c r="G3726">
        <v>1</v>
      </c>
      <c r="H3726">
        <v>2023</v>
      </c>
      <c r="I3726" t="s">
        <v>3841</v>
      </c>
    </row>
    <row r="3727" spans="1:9" x14ac:dyDescent="0.3">
      <c r="A3727" t="s">
        <v>10170</v>
      </c>
      <c r="B3727" t="s">
        <v>73</v>
      </c>
      <c r="C3727">
        <v>8989697390</v>
      </c>
      <c r="D3727" s="2">
        <v>1</v>
      </c>
      <c r="E3727" t="str">
        <f>"4574674200821205"</f>
        <v>4574674200821205</v>
      </c>
      <c r="F3727" t="str">
        <f>"039"</f>
        <v>039</v>
      </c>
      <c r="G3727">
        <v>1</v>
      </c>
      <c r="H3727">
        <v>2023</v>
      </c>
      <c r="I3727" t="s">
        <v>3842</v>
      </c>
    </row>
    <row r="3728" spans="1:9" x14ac:dyDescent="0.3">
      <c r="A3728" t="s">
        <v>10170</v>
      </c>
      <c r="B3728" t="s">
        <v>73</v>
      </c>
      <c r="C3728">
        <v>8989697390</v>
      </c>
      <c r="D3728" s="2">
        <v>1</v>
      </c>
      <c r="E3728" t="str">
        <f>"4574674200821247"</f>
        <v>4574674200821247</v>
      </c>
      <c r="F3728" t="str">
        <f>"694"</f>
        <v>694</v>
      </c>
      <c r="G3728">
        <v>1</v>
      </c>
      <c r="H3728">
        <v>2023</v>
      </c>
      <c r="I3728" t="s">
        <v>3843</v>
      </c>
    </row>
    <row r="3729" spans="1:9" x14ac:dyDescent="0.3">
      <c r="A3729" t="s">
        <v>10170</v>
      </c>
      <c r="B3729" t="s">
        <v>73</v>
      </c>
      <c r="C3729">
        <v>8989697390</v>
      </c>
      <c r="D3729" s="2">
        <v>1</v>
      </c>
      <c r="E3729" t="str">
        <f>"4574674200821288"</f>
        <v>4574674200821288</v>
      </c>
      <c r="F3729" t="str">
        <f>"592"</f>
        <v>592</v>
      </c>
      <c r="G3729">
        <v>1</v>
      </c>
      <c r="H3729">
        <v>2023</v>
      </c>
      <c r="I3729" t="s">
        <v>3844</v>
      </c>
    </row>
    <row r="3730" spans="1:9" x14ac:dyDescent="0.3">
      <c r="A3730" t="s">
        <v>10171</v>
      </c>
      <c r="B3730" t="s">
        <v>74</v>
      </c>
      <c r="C3730">
        <v>8989697390</v>
      </c>
      <c r="D3730" s="2">
        <v>1</v>
      </c>
      <c r="E3730" t="str">
        <f>"4574674200821106"</f>
        <v>4574674200821106</v>
      </c>
      <c r="F3730" t="str">
        <f>"793"</f>
        <v>793</v>
      </c>
      <c r="G3730">
        <v>1</v>
      </c>
      <c r="H3730">
        <v>2023</v>
      </c>
      <c r="I3730" t="s">
        <v>3845</v>
      </c>
    </row>
    <row r="3731" spans="1:9" x14ac:dyDescent="0.3">
      <c r="A3731" t="s">
        <v>10171</v>
      </c>
      <c r="B3731" t="s">
        <v>74</v>
      </c>
      <c r="C3731">
        <v>8989697390</v>
      </c>
      <c r="D3731" s="2">
        <v>1</v>
      </c>
      <c r="E3731" t="str">
        <f>"4574674200821122"</f>
        <v>4574674200821122</v>
      </c>
      <c r="F3731" t="str">
        <f>"796"</f>
        <v>796</v>
      </c>
      <c r="G3731">
        <v>1</v>
      </c>
      <c r="H3731">
        <v>2023</v>
      </c>
      <c r="I3731" t="s">
        <v>3846</v>
      </c>
    </row>
    <row r="3732" spans="1:9" x14ac:dyDescent="0.3">
      <c r="A3732" t="s">
        <v>10171</v>
      </c>
      <c r="B3732" t="s">
        <v>74</v>
      </c>
      <c r="C3732">
        <v>8989697390</v>
      </c>
      <c r="D3732" s="2">
        <v>1</v>
      </c>
      <c r="E3732" t="str">
        <f>"4574674200821346"</f>
        <v>4574674200821346</v>
      </c>
      <c r="F3732" t="str">
        <f>"868"</f>
        <v>868</v>
      </c>
      <c r="G3732">
        <v>1</v>
      </c>
      <c r="H3732">
        <v>2023</v>
      </c>
      <c r="I3732" t="s">
        <v>3847</v>
      </c>
    </row>
    <row r="3733" spans="1:9" x14ac:dyDescent="0.3">
      <c r="A3733" t="s">
        <v>10171</v>
      </c>
      <c r="B3733" t="s">
        <v>74</v>
      </c>
      <c r="C3733">
        <v>8989697390</v>
      </c>
      <c r="D3733" s="2">
        <v>1</v>
      </c>
      <c r="E3733" t="str">
        <f>"4574674200821395"</f>
        <v>4574674200821395</v>
      </c>
      <c r="F3733" t="str">
        <f>"409"</f>
        <v>409</v>
      </c>
      <c r="G3733">
        <v>1</v>
      </c>
      <c r="H3733">
        <v>2023</v>
      </c>
      <c r="I3733" t="s">
        <v>3848</v>
      </c>
    </row>
    <row r="3734" spans="1:9" x14ac:dyDescent="0.3">
      <c r="A3734" t="s">
        <v>10171</v>
      </c>
      <c r="B3734" t="s">
        <v>74</v>
      </c>
      <c r="C3734">
        <v>8989697390</v>
      </c>
      <c r="D3734" s="2">
        <v>1</v>
      </c>
      <c r="E3734" t="str">
        <f>"4574674200821353"</f>
        <v>4574674200821353</v>
      </c>
      <c r="F3734" t="str">
        <f>"549"</f>
        <v>549</v>
      </c>
      <c r="G3734">
        <v>1</v>
      </c>
      <c r="H3734">
        <v>2023</v>
      </c>
      <c r="I3734" t="s">
        <v>3849</v>
      </c>
    </row>
    <row r="3735" spans="1:9" x14ac:dyDescent="0.3">
      <c r="A3735" t="s">
        <v>10171</v>
      </c>
      <c r="B3735" t="s">
        <v>74</v>
      </c>
      <c r="C3735">
        <v>8989697390</v>
      </c>
      <c r="D3735" s="2">
        <v>1</v>
      </c>
      <c r="E3735" t="str">
        <f>"4574674200821403"</f>
        <v>4574674200821403</v>
      </c>
      <c r="F3735" t="str">
        <f>"782"</f>
        <v>782</v>
      </c>
      <c r="G3735">
        <v>1</v>
      </c>
      <c r="H3735">
        <v>2023</v>
      </c>
      <c r="I3735" t="s">
        <v>3850</v>
      </c>
    </row>
    <row r="3736" spans="1:9" x14ac:dyDescent="0.3">
      <c r="A3736" t="s">
        <v>10171</v>
      </c>
      <c r="B3736" t="s">
        <v>74</v>
      </c>
      <c r="C3736">
        <v>8989697390</v>
      </c>
      <c r="D3736" s="2">
        <v>1</v>
      </c>
      <c r="E3736" t="str">
        <f>"4574674200821478"</f>
        <v>4574674200821478</v>
      </c>
      <c r="F3736" t="str">
        <f>"947"</f>
        <v>947</v>
      </c>
      <c r="G3736">
        <v>1</v>
      </c>
      <c r="H3736">
        <v>2023</v>
      </c>
      <c r="I3736" t="s">
        <v>3851</v>
      </c>
    </row>
    <row r="3737" spans="1:9" x14ac:dyDescent="0.3">
      <c r="A3737" t="s">
        <v>10171</v>
      </c>
      <c r="B3737" t="s">
        <v>74</v>
      </c>
      <c r="C3737">
        <v>8989697390</v>
      </c>
      <c r="D3737" s="2">
        <v>1</v>
      </c>
      <c r="E3737" t="str">
        <f>"4574674200821437"</f>
        <v>4574674200821437</v>
      </c>
      <c r="F3737" t="str">
        <f>"560"</f>
        <v>560</v>
      </c>
      <c r="G3737">
        <v>1</v>
      </c>
      <c r="H3737">
        <v>2023</v>
      </c>
      <c r="I3737" t="s">
        <v>3852</v>
      </c>
    </row>
    <row r="3738" spans="1:9" x14ac:dyDescent="0.3">
      <c r="A3738" t="s">
        <v>10171</v>
      </c>
      <c r="B3738" t="s">
        <v>74</v>
      </c>
      <c r="C3738">
        <v>8989697390</v>
      </c>
      <c r="D3738" s="2">
        <v>1</v>
      </c>
      <c r="E3738" t="str">
        <f>"4574674200821502"</f>
        <v>4574674200821502</v>
      </c>
      <c r="F3738" t="str">
        <f>"364"</f>
        <v>364</v>
      </c>
      <c r="G3738">
        <v>1</v>
      </c>
      <c r="H3738">
        <v>2023</v>
      </c>
      <c r="I3738" t="s">
        <v>3853</v>
      </c>
    </row>
    <row r="3739" spans="1:9" x14ac:dyDescent="0.3">
      <c r="A3739" t="s">
        <v>10171</v>
      </c>
      <c r="B3739" t="s">
        <v>74</v>
      </c>
      <c r="C3739">
        <v>8989697390</v>
      </c>
      <c r="D3739" s="2">
        <v>1</v>
      </c>
      <c r="E3739" t="str">
        <f>"4574674200821510"</f>
        <v>4574674200821510</v>
      </c>
      <c r="F3739" t="str">
        <f>"030"</f>
        <v>030</v>
      </c>
      <c r="G3739">
        <v>1</v>
      </c>
      <c r="H3739">
        <v>2023</v>
      </c>
      <c r="I3739" t="s">
        <v>3854</v>
      </c>
    </row>
    <row r="3740" spans="1:9" x14ac:dyDescent="0.3">
      <c r="A3740" t="s">
        <v>10136</v>
      </c>
      <c r="B3740" t="s">
        <v>81</v>
      </c>
      <c r="C3740">
        <v>9406582649</v>
      </c>
      <c r="D3740" s="2">
        <v>1</v>
      </c>
      <c r="E3740" t="str">
        <f>"4574674200821627"</f>
        <v>4574674200821627</v>
      </c>
      <c r="F3740" t="str">
        <f>"259"</f>
        <v>259</v>
      </c>
      <c r="G3740">
        <v>1</v>
      </c>
      <c r="H3740">
        <v>2023</v>
      </c>
      <c r="I3740" t="s">
        <v>3855</v>
      </c>
    </row>
    <row r="3741" spans="1:9" x14ac:dyDescent="0.3">
      <c r="A3741" t="s">
        <v>10136</v>
      </c>
      <c r="B3741" t="s">
        <v>81</v>
      </c>
      <c r="C3741">
        <v>9406582649</v>
      </c>
      <c r="D3741" s="2">
        <v>1</v>
      </c>
      <c r="E3741" t="str">
        <f>"4574674200821635"</f>
        <v>4574674200821635</v>
      </c>
      <c r="F3741" t="str">
        <f>"434"</f>
        <v>434</v>
      </c>
      <c r="G3741">
        <v>1</v>
      </c>
      <c r="H3741">
        <v>2023</v>
      </c>
      <c r="I3741" t="s">
        <v>3856</v>
      </c>
    </row>
    <row r="3742" spans="1:9" x14ac:dyDescent="0.3">
      <c r="A3742" t="s">
        <v>10136</v>
      </c>
      <c r="B3742" t="s">
        <v>81</v>
      </c>
      <c r="C3742">
        <v>9406582649</v>
      </c>
      <c r="D3742" s="2">
        <v>1</v>
      </c>
      <c r="E3742" t="str">
        <f>"4574674200821544"</f>
        <v>4574674200821544</v>
      </c>
      <c r="F3742" t="str">
        <f>"139"</f>
        <v>139</v>
      </c>
      <c r="G3742">
        <v>1</v>
      </c>
      <c r="H3742">
        <v>2023</v>
      </c>
      <c r="I3742" t="s">
        <v>3857</v>
      </c>
    </row>
    <row r="3743" spans="1:9" x14ac:dyDescent="0.3">
      <c r="A3743" t="s">
        <v>10136</v>
      </c>
      <c r="B3743" t="s">
        <v>81</v>
      </c>
      <c r="C3743">
        <v>9406582649</v>
      </c>
      <c r="D3743" s="2">
        <v>1</v>
      </c>
      <c r="E3743" t="str">
        <f>"4574674200821551"</f>
        <v>4574674200821551</v>
      </c>
      <c r="F3743" t="str">
        <f>"917"</f>
        <v>917</v>
      </c>
      <c r="G3743">
        <v>1</v>
      </c>
      <c r="H3743">
        <v>2023</v>
      </c>
      <c r="I3743" t="s">
        <v>3858</v>
      </c>
    </row>
    <row r="3744" spans="1:9" x14ac:dyDescent="0.3">
      <c r="A3744" t="s">
        <v>10136</v>
      </c>
      <c r="B3744" t="s">
        <v>81</v>
      </c>
      <c r="C3744">
        <v>9406582649</v>
      </c>
      <c r="D3744" s="2">
        <v>1</v>
      </c>
      <c r="E3744" t="str">
        <f>"4574674200821809"</f>
        <v>4574674200821809</v>
      </c>
      <c r="F3744" t="str">
        <f>"347"</f>
        <v>347</v>
      </c>
      <c r="G3744">
        <v>1</v>
      </c>
      <c r="H3744">
        <v>2023</v>
      </c>
      <c r="I3744" t="s">
        <v>3859</v>
      </c>
    </row>
    <row r="3745" spans="1:9" x14ac:dyDescent="0.3">
      <c r="A3745" t="s">
        <v>10136</v>
      </c>
      <c r="B3745" t="s">
        <v>81</v>
      </c>
      <c r="C3745">
        <v>9406582649</v>
      </c>
      <c r="D3745" s="2">
        <v>1</v>
      </c>
      <c r="E3745" t="str">
        <f>"4574674200821841"</f>
        <v>4574674200821841</v>
      </c>
      <c r="F3745" t="str">
        <f>"654"</f>
        <v>654</v>
      </c>
      <c r="G3745">
        <v>1</v>
      </c>
      <c r="H3745">
        <v>2023</v>
      </c>
      <c r="I3745" t="s">
        <v>3860</v>
      </c>
    </row>
    <row r="3746" spans="1:9" x14ac:dyDescent="0.3">
      <c r="A3746" t="s">
        <v>10136</v>
      </c>
      <c r="B3746" t="s">
        <v>81</v>
      </c>
      <c r="C3746">
        <v>9406582649</v>
      </c>
      <c r="D3746" s="2">
        <v>1</v>
      </c>
      <c r="E3746" t="str">
        <f>"4574674200821882"</f>
        <v>4574674200821882</v>
      </c>
      <c r="F3746" t="str">
        <f>"016"</f>
        <v>016</v>
      </c>
      <c r="G3746">
        <v>1</v>
      </c>
      <c r="H3746">
        <v>2023</v>
      </c>
      <c r="I3746" t="s">
        <v>3861</v>
      </c>
    </row>
    <row r="3747" spans="1:9" x14ac:dyDescent="0.3">
      <c r="A3747" t="s">
        <v>10136</v>
      </c>
      <c r="B3747" t="s">
        <v>81</v>
      </c>
      <c r="C3747">
        <v>9406582649</v>
      </c>
      <c r="D3747" s="2">
        <v>1</v>
      </c>
      <c r="E3747" t="str">
        <f>"4574674200821742"</f>
        <v>4574674200821742</v>
      </c>
      <c r="F3747" t="str">
        <f>"468"</f>
        <v>468</v>
      </c>
      <c r="G3747">
        <v>1</v>
      </c>
      <c r="H3747">
        <v>2023</v>
      </c>
      <c r="I3747" t="s">
        <v>3862</v>
      </c>
    </row>
    <row r="3748" spans="1:9" x14ac:dyDescent="0.3">
      <c r="A3748" t="s">
        <v>10136</v>
      </c>
      <c r="B3748" t="s">
        <v>81</v>
      </c>
      <c r="C3748">
        <v>9406582649</v>
      </c>
      <c r="D3748" s="2">
        <v>1</v>
      </c>
      <c r="E3748" t="str">
        <f>"4574674200821783"</f>
        <v>4574674200821783</v>
      </c>
      <c r="F3748" t="str">
        <f>"749"</f>
        <v>749</v>
      </c>
      <c r="G3748">
        <v>1</v>
      </c>
      <c r="H3748">
        <v>2023</v>
      </c>
      <c r="I3748" t="s">
        <v>3863</v>
      </c>
    </row>
    <row r="3749" spans="1:9" x14ac:dyDescent="0.3">
      <c r="A3749" t="s">
        <v>10136</v>
      </c>
      <c r="B3749" t="s">
        <v>81</v>
      </c>
      <c r="C3749">
        <v>9406582649</v>
      </c>
      <c r="D3749" s="2">
        <v>1</v>
      </c>
      <c r="E3749" t="str">
        <f>"4574674200821924"</f>
        <v>4574674200821924</v>
      </c>
      <c r="F3749" t="str">
        <f>"520"</f>
        <v>520</v>
      </c>
      <c r="G3749">
        <v>1</v>
      </c>
      <c r="H3749">
        <v>2023</v>
      </c>
      <c r="I3749" t="s">
        <v>3864</v>
      </c>
    </row>
    <row r="3750" spans="1:9" x14ac:dyDescent="0.3">
      <c r="A3750" t="s">
        <v>10137</v>
      </c>
      <c r="B3750" t="s">
        <v>82</v>
      </c>
      <c r="C3750">
        <v>9406582649</v>
      </c>
      <c r="D3750" s="2">
        <v>1</v>
      </c>
      <c r="E3750" t="str">
        <f>"4574674200821908"</f>
        <v>4574674200821908</v>
      </c>
      <c r="F3750" t="str">
        <f>"916"</f>
        <v>916</v>
      </c>
      <c r="G3750">
        <v>1</v>
      </c>
      <c r="H3750">
        <v>2023</v>
      </c>
      <c r="I3750" t="s">
        <v>3865</v>
      </c>
    </row>
    <row r="3751" spans="1:9" x14ac:dyDescent="0.3">
      <c r="A3751" t="s">
        <v>10137</v>
      </c>
      <c r="B3751" t="s">
        <v>82</v>
      </c>
      <c r="C3751">
        <v>9406582649</v>
      </c>
      <c r="D3751" s="2">
        <v>1</v>
      </c>
      <c r="E3751" t="str">
        <f>"4574674200821932"</f>
        <v>4574674200821932</v>
      </c>
      <c r="F3751" t="str">
        <f>"673"</f>
        <v>673</v>
      </c>
      <c r="G3751">
        <v>1</v>
      </c>
      <c r="H3751">
        <v>2023</v>
      </c>
      <c r="I3751" t="s">
        <v>3866</v>
      </c>
    </row>
    <row r="3752" spans="1:9" x14ac:dyDescent="0.3">
      <c r="A3752" t="s">
        <v>10137</v>
      </c>
      <c r="B3752" t="s">
        <v>82</v>
      </c>
      <c r="C3752">
        <v>9406582649</v>
      </c>
      <c r="D3752" s="2">
        <v>1</v>
      </c>
      <c r="E3752" t="str">
        <f>"4574674200821981"</f>
        <v>4574674200821981</v>
      </c>
      <c r="F3752" t="str">
        <f>"608"</f>
        <v>608</v>
      </c>
      <c r="G3752">
        <v>1</v>
      </c>
      <c r="H3752">
        <v>2023</v>
      </c>
      <c r="I3752" t="s">
        <v>3867</v>
      </c>
    </row>
    <row r="3753" spans="1:9" x14ac:dyDescent="0.3">
      <c r="A3753" t="s">
        <v>10137</v>
      </c>
      <c r="B3753" t="s">
        <v>82</v>
      </c>
      <c r="C3753">
        <v>9406582649</v>
      </c>
      <c r="D3753" s="2">
        <v>1</v>
      </c>
      <c r="E3753" t="str">
        <f>"4574674200822245"</f>
        <v>4574674200822245</v>
      </c>
      <c r="F3753" t="str">
        <f>"706"</f>
        <v>706</v>
      </c>
      <c r="G3753">
        <v>1</v>
      </c>
      <c r="H3753">
        <v>2023</v>
      </c>
      <c r="I3753" t="s">
        <v>3868</v>
      </c>
    </row>
    <row r="3754" spans="1:9" x14ac:dyDescent="0.3">
      <c r="A3754" t="s">
        <v>10137</v>
      </c>
      <c r="B3754" t="s">
        <v>82</v>
      </c>
      <c r="C3754">
        <v>9406582649</v>
      </c>
      <c r="D3754" s="2">
        <v>1</v>
      </c>
      <c r="E3754" t="str">
        <f>"4574674200822088"</f>
        <v>4574674200822088</v>
      </c>
      <c r="F3754" t="str">
        <f>"107"</f>
        <v>107</v>
      </c>
      <c r="G3754">
        <v>1</v>
      </c>
      <c r="H3754">
        <v>2023</v>
      </c>
      <c r="I3754" t="s">
        <v>3869</v>
      </c>
    </row>
    <row r="3755" spans="1:9" x14ac:dyDescent="0.3">
      <c r="A3755" t="s">
        <v>10137</v>
      </c>
      <c r="B3755" t="s">
        <v>82</v>
      </c>
      <c r="C3755">
        <v>9406582649</v>
      </c>
      <c r="D3755" s="2">
        <v>1</v>
      </c>
      <c r="E3755" t="str">
        <f>"4574674200822294"</f>
        <v>4574674200822294</v>
      </c>
      <c r="F3755" t="str">
        <f>"294"</f>
        <v>294</v>
      </c>
      <c r="G3755">
        <v>1</v>
      </c>
      <c r="H3755">
        <v>2023</v>
      </c>
      <c r="I3755" t="s">
        <v>3870</v>
      </c>
    </row>
    <row r="3756" spans="1:9" x14ac:dyDescent="0.3">
      <c r="A3756" t="s">
        <v>10137</v>
      </c>
      <c r="B3756" t="s">
        <v>82</v>
      </c>
      <c r="C3756">
        <v>9406582649</v>
      </c>
      <c r="D3756" s="2">
        <v>1</v>
      </c>
      <c r="E3756" t="str">
        <f>"4574674200822617"</f>
        <v>4574674200822617</v>
      </c>
      <c r="F3756" t="str">
        <f>"594"</f>
        <v>594</v>
      </c>
      <c r="G3756">
        <v>1</v>
      </c>
      <c r="H3756">
        <v>2023</v>
      </c>
      <c r="I3756" t="s">
        <v>3871</v>
      </c>
    </row>
    <row r="3757" spans="1:9" x14ac:dyDescent="0.3">
      <c r="A3757" t="s">
        <v>10137</v>
      </c>
      <c r="B3757" t="s">
        <v>82</v>
      </c>
      <c r="C3757">
        <v>9406582649</v>
      </c>
      <c r="D3757" s="2">
        <v>1</v>
      </c>
      <c r="E3757" t="str">
        <f>"4574674200823227"</f>
        <v>4574674200823227</v>
      </c>
      <c r="F3757" t="str">
        <f>"176"</f>
        <v>176</v>
      </c>
      <c r="G3757">
        <v>1</v>
      </c>
      <c r="H3757">
        <v>2023</v>
      </c>
      <c r="I3757" t="s">
        <v>3872</v>
      </c>
    </row>
    <row r="3758" spans="1:9" x14ac:dyDescent="0.3">
      <c r="A3758" t="s">
        <v>10137</v>
      </c>
      <c r="B3758" t="s">
        <v>82</v>
      </c>
      <c r="C3758">
        <v>9406582649</v>
      </c>
      <c r="D3758" s="2">
        <v>1</v>
      </c>
      <c r="E3758" t="str">
        <f>"4574674200823243"</f>
        <v>4574674200823243</v>
      </c>
      <c r="F3758" t="str">
        <f>"488"</f>
        <v>488</v>
      </c>
      <c r="G3758">
        <v>1</v>
      </c>
      <c r="H3758">
        <v>2023</v>
      </c>
      <c r="I3758" t="s">
        <v>3873</v>
      </c>
    </row>
    <row r="3759" spans="1:9" x14ac:dyDescent="0.3">
      <c r="A3759" t="s">
        <v>10137</v>
      </c>
      <c r="B3759" t="s">
        <v>82</v>
      </c>
      <c r="C3759">
        <v>9406582649</v>
      </c>
      <c r="D3759" s="2">
        <v>1</v>
      </c>
      <c r="E3759" t="str">
        <f>"4574674200823276"</f>
        <v>4574674200823276</v>
      </c>
      <c r="F3759" t="str">
        <f>"431"</f>
        <v>431</v>
      </c>
      <c r="G3759">
        <v>1</v>
      </c>
      <c r="H3759">
        <v>2023</v>
      </c>
      <c r="I3759" t="s">
        <v>3874</v>
      </c>
    </row>
    <row r="3760" spans="1:9" x14ac:dyDescent="0.3">
      <c r="A3760" t="s">
        <v>10138</v>
      </c>
      <c r="B3760" t="s">
        <v>83</v>
      </c>
      <c r="C3760">
        <v>9406582649</v>
      </c>
      <c r="D3760" s="2">
        <v>1</v>
      </c>
      <c r="E3760" t="str">
        <f>"4574674200823284"</f>
        <v>4574674200823284</v>
      </c>
      <c r="F3760" t="str">
        <f>"156"</f>
        <v>156</v>
      </c>
      <c r="G3760">
        <v>1</v>
      </c>
      <c r="H3760">
        <v>2023</v>
      </c>
      <c r="I3760" t="s">
        <v>3875</v>
      </c>
    </row>
    <row r="3761" spans="1:9" x14ac:dyDescent="0.3">
      <c r="A3761" t="s">
        <v>10138</v>
      </c>
      <c r="B3761" t="s">
        <v>83</v>
      </c>
      <c r="C3761">
        <v>9406582649</v>
      </c>
      <c r="D3761" s="2">
        <v>1</v>
      </c>
      <c r="E3761" t="str">
        <f>"4574674200823292"</f>
        <v>4574674200823292</v>
      </c>
      <c r="F3761" t="str">
        <f>"532"</f>
        <v>532</v>
      </c>
      <c r="G3761">
        <v>1</v>
      </c>
      <c r="H3761">
        <v>2023</v>
      </c>
      <c r="I3761" t="s">
        <v>3876</v>
      </c>
    </row>
    <row r="3762" spans="1:9" x14ac:dyDescent="0.3">
      <c r="A3762" t="s">
        <v>10138</v>
      </c>
      <c r="B3762" t="s">
        <v>83</v>
      </c>
      <c r="C3762">
        <v>9406582649</v>
      </c>
      <c r="D3762" s="2">
        <v>1</v>
      </c>
      <c r="E3762" t="str">
        <f>"4574674200823490"</f>
        <v>4574674200823490</v>
      </c>
      <c r="F3762" t="str">
        <f>"622"</f>
        <v>622</v>
      </c>
      <c r="G3762">
        <v>1</v>
      </c>
      <c r="H3762">
        <v>2023</v>
      </c>
      <c r="I3762" t="s">
        <v>3877</v>
      </c>
    </row>
    <row r="3763" spans="1:9" x14ac:dyDescent="0.3">
      <c r="A3763" t="s">
        <v>10138</v>
      </c>
      <c r="B3763" t="s">
        <v>83</v>
      </c>
      <c r="C3763">
        <v>9406582649</v>
      </c>
      <c r="D3763" s="2">
        <v>1</v>
      </c>
      <c r="E3763" t="str">
        <f>"4574674200823557"</f>
        <v>4574674200823557</v>
      </c>
      <c r="F3763" t="str">
        <f>"856"</f>
        <v>856</v>
      </c>
      <c r="G3763">
        <v>1</v>
      </c>
      <c r="H3763">
        <v>2023</v>
      </c>
      <c r="I3763" t="s">
        <v>3878</v>
      </c>
    </row>
    <row r="3764" spans="1:9" x14ac:dyDescent="0.3">
      <c r="A3764" t="s">
        <v>10138</v>
      </c>
      <c r="B3764" t="s">
        <v>83</v>
      </c>
      <c r="C3764">
        <v>9406582649</v>
      </c>
      <c r="D3764" s="2">
        <v>1</v>
      </c>
      <c r="E3764" t="str">
        <f>"4574674200823714"</f>
        <v>4574674200823714</v>
      </c>
      <c r="F3764" t="str">
        <f>"880"</f>
        <v>880</v>
      </c>
      <c r="G3764">
        <v>1</v>
      </c>
      <c r="H3764">
        <v>2023</v>
      </c>
      <c r="I3764" t="s">
        <v>3879</v>
      </c>
    </row>
    <row r="3765" spans="1:9" x14ac:dyDescent="0.3">
      <c r="A3765" t="s">
        <v>10138</v>
      </c>
      <c r="B3765" t="s">
        <v>83</v>
      </c>
      <c r="C3765">
        <v>9406582649</v>
      </c>
      <c r="D3765" s="2">
        <v>1</v>
      </c>
      <c r="E3765" t="str">
        <f>"4574674200823730"</f>
        <v>4574674200823730</v>
      </c>
      <c r="F3765" t="str">
        <f>"187"</f>
        <v>187</v>
      </c>
      <c r="G3765">
        <v>1</v>
      </c>
      <c r="H3765">
        <v>2023</v>
      </c>
      <c r="I3765" t="s">
        <v>3880</v>
      </c>
    </row>
    <row r="3766" spans="1:9" x14ac:dyDescent="0.3">
      <c r="A3766" t="s">
        <v>10138</v>
      </c>
      <c r="B3766" t="s">
        <v>83</v>
      </c>
      <c r="C3766">
        <v>9406582649</v>
      </c>
      <c r="D3766" s="2">
        <v>1</v>
      </c>
      <c r="E3766" t="str">
        <f>"4574674200823581"</f>
        <v>4574674200823581</v>
      </c>
      <c r="F3766" t="str">
        <f>"647"</f>
        <v>647</v>
      </c>
      <c r="G3766">
        <v>1</v>
      </c>
      <c r="H3766">
        <v>2023</v>
      </c>
      <c r="I3766" t="s">
        <v>3881</v>
      </c>
    </row>
    <row r="3767" spans="1:9" x14ac:dyDescent="0.3">
      <c r="A3767" t="s">
        <v>10138</v>
      </c>
      <c r="B3767" t="s">
        <v>83</v>
      </c>
      <c r="C3767">
        <v>9406582649</v>
      </c>
      <c r="D3767" s="2">
        <v>1</v>
      </c>
      <c r="E3767" t="str">
        <f>"4574674200823821"</f>
        <v>4574674200823821</v>
      </c>
      <c r="F3767" t="str">
        <f>"364"</f>
        <v>364</v>
      </c>
      <c r="G3767">
        <v>1</v>
      </c>
      <c r="H3767">
        <v>2023</v>
      </c>
      <c r="I3767" t="s">
        <v>3882</v>
      </c>
    </row>
    <row r="3768" spans="1:9" x14ac:dyDescent="0.3">
      <c r="A3768" t="s">
        <v>10138</v>
      </c>
      <c r="B3768" t="s">
        <v>83</v>
      </c>
      <c r="C3768">
        <v>9406582649</v>
      </c>
      <c r="D3768" s="2">
        <v>1</v>
      </c>
      <c r="E3768" t="str">
        <f>"4574674200823813"</f>
        <v>4574674200823813</v>
      </c>
      <c r="F3768" t="str">
        <f>"632"</f>
        <v>632</v>
      </c>
      <c r="G3768">
        <v>1</v>
      </c>
      <c r="H3768">
        <v>2023</v>
      </c>
      <c r="I3768" t="s">
        <v>3883</v>
      </c>
    </row>
    <row r="3769" spans="1:9" x14ac:dyDescent="0.3">
      <c r="A3769" t="s">
        <v>10138</v>
      </c>
      <c r="B3769" t="s">
        <v>83</v>
      </c>
      <c r="C3769">
        <v>9406582649</v>
      </c>
      <c r="D3769" s="2">
        <v>1</v>
      </c>
      <c r="E3769" t="str">
        <f>"4574674200823847"</f>
        <v>4574674200823847</v>
      </c>
      <c r="F3769" t="str">
        <f>"476"</f>
        <v>476</v>
      </c>
      <c r="G3769">
        <v>1</v>
      </c>
      <c r="H3769">
        <v>2023</v>
      </c>
      <c r="I3769" t="s">
        <v>3884</v>
      </c>
    </row>
    <row r="3770" spans="1:9" x14ac:dyDescent="0.3">
      <c r="A3770" t="s">
        <v>10139</v>
      </c>
      <c r="B3770" t="s">
        <v>84</v>
      </c>
      <c r="C3770">
        <v>9406582649</v>
      </c>
      <c r="D3770" s="2">
        <v>1</v>
      </c>
      <c r="E3770" t="str">
        <f>"4574674200824068"</f>
        <v>4574674200824068</v>
      </c>
      <c r="F3770" t="str">
        <f>"630"</f>
        <v>630</v>
      </c>
      <c r="G3770">
        <v>1</v>
      </c>
      <c r="H3770">
        <v>2023</v>
      </c>
      <c r="I3770" t="s">
        <v>3885</v>
      </c>
    </row>
    <row r="3771" spans="1:9" x14ac:dyDescent="0.3">
      <c r="A3771" t="s">
        <v>10139</v>
      </c>
      <c r="B3771" t="s">
        <v>84</v>
      </c>
      <c r="C3771">
        <v>9406582649</v>
      </c>
      <c r="D3771" s="2">
        <v>1</v>
      </c>
      <c r="E3771" t="str">
        <f>"4574674200824084"</f>
        <v>4574674200824084</v>
      </c>
      <c r="F3771" t="str">
        <f>"597"</f>
        <v>597</v>
      </c>
      <c r="G3771">
        <v>1</v>
      </c>
      <c r="H3771">
        <v>2023</v>
      </c>
      <c r="I3771" t="s">
        <v>3886</v>
      </c>
    </row>
    <row r="3772" spans="1:9" x14ac:dyDescent="0.3">
      <c r="A3772" t="s">
        <v>10139</v>
      </c>
      <c r="B3772" t="s">
        <v>84</v>
      </c>
      <c r="C3772">
        <v>9406582649</v>
      </c>
      <c r="D3772" s="2">
        <v>1</v>
      </c>
      <c r="E3772" t="str">
        <f>"4574674200823888"</f>
        <v>4574674200823888</v>
      </c>
      <c r="F3772" t="str">
        <f>"810"</f>
        <v>810</v>
      </c>
      <c r="G3772">
        <v>1</v>
      </c>
      <c r="H3772">
        <v>2023</v>
      </c>
      <c r="I3772" t="s">
        <v>3887</v>
      </c>
    </row>
    <row r="3773" spans="1:9" x14ac:dyDescent="0.3">
      <c r="A3773" t="s">
        <v>10139</v>
      </c>
      <c r="B3773" t="s">
        <v>84</v>
      </c>
      <c r="C3773">
        <v>9406582649</v>
      </c>
      <c r="D3773" s="2">
        <v>1</v>
      </c>
      <c r="E3773" t="str">
        <f>"4574674200823938"</f>
        <v>4574674200823938</v>
      </c>
      <c r="F3773" t="str">
        <f>"035"</f>
        <v>035</v>
      </c>
      <c r="G3773">
        <v>1</v>
      </c>
      <c r="H3773">
        <v>2023</v>
      </c>
      <c r="I3773" t="s">
        <v>3888</v>
      </c>
    </row>
    <row r="3774" spans="1:9" x14ac:dyDescent="0.3">
      <c r="A3774" t="s">
        <v>10139</v>
      </c>
      <c r="B3774" t="s">
        <v>84</v>
      </c>
      <c r="C3774">
        <v>9406582649</v>
      </c>
      <c r="D3774" s="2">
        <v>1</v>
      </c>
      <c r="E3774" t="str">
        <f>"4574674200823912"</f>
        <v>4574674200823912</v>
      </c>
      <c r="F3774" t="str">
        <f>"385"</f>
        <v>385</v>
      </c>
      <c r="G3774">
        <v>1</v>
      </c>
      <c r="H3774">
        <v>2023</v>
      </c>
      <c r="I3774" t="s">
        <v>3889</v>
      </c>
    </row>
    <row r="3775" spans="1:9" x14ac:dyDescent="0.3">
      <c r="A3775" t="s">
        <v>10139</v>
      </c>
      <c r="B3775" t="s">
        <v>84</v>
      </c>
      <c r="C3775">
        <v>9406582649</v>
      </c>
      <c r="D3775" s="2">
        <v>1</v>
      </c>
      <c r="E3775" t="str">
        <f>"4574674200823995"</f>
        <v>4574674200823995</v>
      </c>
      <c r="F3775" t="str">
        <f>"922"</f>
        <v>922</v>
      </c>
      <c r="G3775">
        <v>1</v>
      </c>
      <c r="H3775">
        <v>2023</v>
      </c>
      <c r="I3775" t="s">
        <v>3890</v>
      </c>
    </row>
    <row r="3776" spans="1:9" x14ac:dyDescent="0.3">
      <c r="A3776" t="s">
        <v>10139</v>
      </c>
      <c r="B3776" t="s">
        <v>84</v>
      </c>
      <c r="C3776">
        <v>9406582649</v>
      </c>
      <c r="D3776" s="2">
        <v>1</v>
      </c>
      <c r="E3776" t="str">
        <f>"4574674200824159"</f>
        <v>4574674200824159</v>
      </c>
      <c r="F3776" t="str">
        <f>"789"</f>
        <v>789</v>
      </c>
      <c r="G3776">
        <v>1</v>
      </c>
      <c r="H3776">
        <v>2023</v>
      </c>
      <c r="I3776" t="s">
        <v>3891</v>
      </c>
    </row>
    <row r="3777" spans="1:9" x14ac:dyDescent="0.3">
      <c r="A3777" t="s">
        <v>10139</v>
      </c>
      <c r="B3777" t="s">
        <v>84</v>
      </c>
      <c r="C3777">
        <v>9406582649</v>
      </c>
      <c r="D3777" s="2">
        <v>1</v>
      </c>
      <c r="E3777" t="str">
        <f>"4574674200824209"</f>
        <v>4574674200824209</v>
      </c>
      <c r="F3777" t="str">
        <f>"465"</f>
        <v>465</v>
      </c>
      <c r="G3777">
        <v>1</v>
      </c>
      <c r="H3777">
        <v>2023</v>
      </c>
      <c r="I3777" t="s">
        <v>3892</v>
      </c>
    </row>
    <row r="3778" spans="1:9" x14ac:dyDescent="0.3">
      <c r="A3778" t="s">
        <v>10139</v>
      </c>
      <c r="B3778" t="s">
        <v>84</v>
      </c>
      <c r="C3778">
        <v>9406582649</v>
      </c>
      <c r="D3778" s="2">
        <v>1</v>
      </c>
      <c r="E3778" t="str">
        <f>"4574674200824415"</f>
        <v>4574674200824415</v>
      </c>
      <c r="F3778" t="str">
        <f>"571"</f>
        <v>571</v>
      </c>
      <c r="G3778">
        <v>1</v>
      </c>
      <c r="H3778">
        <v>2023</v>
      </c>
      <c r="I3778" t="s">
        <v>3893</v>
      </c>
    </row>
    <row r="3779" spans="1:9" x14ac:dyDescent="0.3">
      <c r="A3779" t="s">
        <v>10139</v>
      </c>
      <c r="B3779" t="s">
        <v>84</v>
      </c>
      <c r="C3779">
        <v>9406582649</v>
      </c>
      <c r="D3779" s="2">
        <v>1</v>
      </c>
      <c r="E3779" t="str">
        <f>"4574674200824266"</f>
        <v>4574674200824266</v>
      </c>
      <c r="F3779" t="str">
        <f>"701"</f>
        <v>701</v>
      </c>
      <c r="G3779">
        <v>1</v>
      </c>
      <c r="H3779">
        <v>2023</v>
      </c>
      <c r="I3779" t="s">
        <v>3894</v>
      </c>
    </row>
    <row r="3780" spans="1:9" x14ac:dyDescent="0.3">
      <c r="A3780" t="s">
        <v>10138</v>
      </c>
      <c r="B3780" t="s">
        <v>83</v>
      </c>
      <c r="C3780">
        <v>9406582649</v>
      </c>
      <c r="D3780" s="2">
        <v>1</v>
      </c>
      <c r="E3780" t="str">
        <f>"4574674200824324"</f>
        <v>4574674200824324</v>
      </c>
      <c r="F3780" t="str">
        <f>"414"</f>
        <v>414</v>
      </c>
      <c r="G3780">
        <v>1</v>
      </c>
      <c r="H3780">
        <v>2023</v>
      </c>
      <c r="I3780" t="s">
        <v>3895</v>
      </c>
    </row>
    <row r="3781" spans="1:9" x14ac:dyDescent="0.3">
      <c r="A3781" t="s">
        <v>10138</v>
      </c>
      <c r="B3781" t="s">
        <v>83</v>
      </c>
      <c r="C3781">
        <v>9406582649</v>
      </c>
      <c r="D3781" s="2">
        <v>1</v>
      </c>
      <c r="E3781" t="str">
        <f>"4574674200824365"</f>
        <v>4574674200824365</v>
      </c>
      <c r="F3781" t="str">
        <f>"866"</f>
        <v>866</v>
      </c>
      <c r="G3781">
        <v>1</v>
      </c>
      <c r="H3781">
        <v>2023</v>
      </c>
      <c r="I3781" t="s">
        <v>3896</v>
      </c>
    </row>
    <row r="3782" spans="1:9" x14ac:dyDescent="0.3">
      <c r="A3782" t="s">
        <v>10138</v>
      </c>
      <c r="B3782" t="s">
        <v>83</v>
      </c>
      <c r="C3782">
        <v>9406582649</v>
      </c>
      <c r="D3782" s="2">
        <v>1</v>
      </c>
      <c r="E3782" t="str">
        <f>"4574674200824480"</f>
        <v>4574674200824480</v>
      </c>
      <c r="F3782" t="str">
        <f>"706"</f>
        <v>706</v>
      </c>
      <c r="G3782">
        <v>1</v>
      </c>
      <c r="H3782">
        <v>2023</v>
      </c>
      <c r="I3782" t="s">
        <v>3897</v>
      </c>
    </row>
    <row r="3783" spans="1:9" x14ac:dyDescent="0.3">
      <c r="A3783" t="s">
        <v>10138</v>
      </c>
      <c r="B3783" t="s">
        <v>83</v>
      </c>
      <c r="C3783">
        <v>9406582649</v>
      </c>
      <c r="D3783" s="2">
        <v>1</v>
      </c>
      <c r="E3783" t="str">
        <f>"4574674200824514"</f>
        <v>4574674200824514</v>
      </c>
      <c r="F3783" t="str">
        <f>"693"</f>
        <v>693</v>
      </c>
      <c r="G3783">
        <v>1</v>
      </c>
      <c r="H3783">
        <v>2023</v>
      </c>
      <c r="I3783" t="s">
        <v>3898</v>
      </c>
    </row>
    <row r="3784" spans="1:9" x14ac:dyDescent="0.3">
      <c r="A3784" t="s">
        <v>10138</v>
      </c>
      <c r="B3784" t="s">
        <v>83</v>
      </c>
      <c r="C3784">
        <v>9406582649</v>
      </c>
      <c r="D3784" s="2">
        <v>1</v>
      </c>
      <c r="E3784" t="str">
        <f>"4574674200824605"</f>
        <v>4574674200824605</v>
      </c>
      <c r="F3784" t="str">
        <f>"056"</f>
        <v>056</v>
      </c>
      <c r="G3784">
        <v>1</v>
      </c>
      <c r="H3784">
        <v>2023</v>
      </c>
      <c r="I3784" t="s">
        <v>3899</v>
      </c>
    </row>
    <row r="3785" spans="1:9" x14ac:dyDescent="0.3">
      <c r="A3785" t="s">
        <v>10138</v>
      </c>
      <c r="B3785" t="s">
        <v>83</v>
      </c>
      <c r="C3785">
        <v>9406582649</v>
      </c>
      <c r="D3785" s="2">
        <v>1</v>
      </c>
      <c r="E3785" t="str">
        <f>"4574674200824613"</f>
        <v>4574674200824613</v>
      </c>
      <c r="F3785" t="str">
        <f>"248"</f>
        <v>248</v>
      </c>
      <c r="G3785">
        <v>1</v>
      </c>
      <c r="H3785">
        <v>2023</v>
      </c>
      <c r="I3785" t="s">
        <v>3900</v>
      </c>
    </row>
    <row r="3786" spans="1:9" x14ac:dyDescent="0.3">
      <c r="A3786" t="s">
        <v>10138</v>
      </c>
      <c r="B3786" t="s">
        <v>83</v>
      </c>
      <c r="C3786">
        <v>9406582649</v>
      </c>
      <c r="D3786" s="2">
        <v>1</v>
      </c>
      <c r="E3786" t="str">
        <f>"4574674200824621"</f>
        <v>4574674200824621</v>
      </c>
      <c r="F3786" t="str">
        <f>"100"</f>
        <v>100</v>
      </c>
      <c r="G3786">
        <v>1</v>
      </c>
      <c r="H3786">
        <v>2023</v>
      </c>
      <c r="I3786" t="s">
        <v>3901</v>
      </c>
    </row>
    <row r="3787" spans="1:9" x14ac:dyDescent="0.3">
      <c r="A3787" t="s">
        <v>10138</v>
      </c>
      <c r="B3787" t="s">
        <v>83</v>
      </c>
      <c r="C3787">
        <v>9406582649</v>
      </c>
      <c r="D3787" s="2">
        <v>1</v>
      </c>
      <c r="E3787" t="str">
        <f>"4574674200824837"</f>
        <v>4574674200824837</v>
      </c>
      <c r="F3787" t="str">
        <f>"621"</f>
        <v>621</v>
      </c>
      <c r="G3787">
        <v>1</v>
      </c>
      <c r="H3787">
        <v>2023</v>
      </c>
      <c r="I3787" t="s">
        <v>3902</v>
      </c>
    </row>
    <row r="3788" spans="1:9" x14ac:dyDescent="0.3">
      <c r="A3788" t="s">
        <v>10138</v>
      </c>
      <c r="B3788" t="s">
        <v>83</v>
      </c>
      <c r="C3788">
        <v>9406582649</v>
      </c>
      <c r="D3788" s="2">
        <v>1</v>
      </c>
      <c r="E3788" t="str">
        <f>"4574674200824845"</f>
        <v>4574674200824845</v>
      </c>
      <c r="F3788" t="str">
        <f>"586"</f>
        <v>586</v>
      </c>
      <c r="G3788">
        <v>1</v>
      </c>
      <c r="H3788">
        <v>2023</v>
      </c>
      <c r="I3788" t="s">
        <v>3903</v>
      </c>
    </row>
    <row r="3789" spans="1:9" x14ac:dyDescent="0.3">
      <c r="A3789" t="s">
        <v>10138</v>
      </c>
      <c r="B3789" t="s">
        <v>83</v>
      </c>
      <c r="C3789">
        <v>9406582649</v>
      </c>
      <c r="D3789" s="2">
        <v>1</v>
      </c>
      <c r="E3789" t="str">
        <f>"4574674200824662"</f>
        <v>4574674200824662</v>
      </c>
      <c r="F3789" t="str">
        <f>"941"</f>
        <v>941</v>
      </c>
      <c r="G3789">
        <v>1</v>
      </c>
      <c r="H3789">
        <v>2023</v>
      </c>
      <c r="I3789" t="s">
        <v>3904</v>
      </c>
    </row>
    <row r="3790" spans="1:9" x14ac:dyDescent="0.3">
      <c r="A3790" t="s">
        <v>10140</v>
      </c>
      <c r="B3790" t="s">
        <v>85</v>
      </c>
      <c r="C3790">
        <v>9406582649</v>
      </c>
      <c r="D3790" s="2">
        <v>1</v>
      </c>
      <c r="E3790" t="str">
        <f>"4574674200824696"</f>
        <v>4574674200824696</v>
      </c>
      <c r="F3790" t="str">
        <f>"527"</f>
        <v>527</v>
      </c>
      <c r="G3790">
        <v>1</v>
      </c>
      <c r="H3790">
        <v>2023</v>
      </c>
      <c r="I3790" t="s">
        <v>3905</v>
      </c>
    </row>
    <row r="3791" spans="1:9" x14ac:dyDescent="0.3">
      <c r="A3791" t="s">
        <v>10140</v>
      </c>
      <c r="B3791" t="s">
        <v>85</v>
      </c>
      <c r="C3791">
        <v>9406582649</v>
      </c>
      <c r="D3791" s="2">
        <v>1</v>
      </c>
      <c r="E3791" t="str">
        <f>"4574674200824746"</f>
        <v>4574674200824746</v>
      </c>
      <c r="F3791" t="str">
        <f>"111"</f>
        <v>111</v>
      </c>
      <c r="G3791">
        <v>1</v>
      </c>
      <c r="H3791">
        <v>2023</v>
      </c>
      <c r="I3791" t="s">
        <v>3906</v>
      </c>
    </row>
    <row r="3792" spans="1:9" x14ac:dyDescent="0.3">
      <c r="A3792" t="s">
        <v>10140</v>
      </c>
      <c r="B3792" t="s">
        <v>85</v>
      </c>
      <c r="C3792">
        <v>9406582649</v>
      </c>
      <c r="D3792" s="2">
        <v>1</v>
      </c>
      <c r="E3792" t="str">
        <f>"4574674200824761"</f>
        <v>4574674200824761</v>
      </c>
      <c r="F3792" t="str">
        <f>"303"</f>
        <v>303</v>
      </c>
      <c r="G3792">
        <v>1</v>
      </c>
      <c r="H3792">
        <v>2023</v>
      </c>
      <c r="I3792" t="s">
        <v>3907</v>
      </c>
    </row>
    <row r="3793" spans="1:9" x14ac:dyDescent="0.3">
      <c r="A3793" t="s">
        <v>10140</v>
      </c>
      <c r="B3793" t="s">
        <v>85</v>
      </c>
      <c r="C3793">
        <v>9406582649</v>
      </c>
      <c r="D3793" s="2">
        <v>1</v>
      </c>
      <c r="E3793" t="str">
        <f>"4574674200824779"</f>
        <v>4574674200824779</v>
      </c>
      <c r="F3793" t="str">
        <f>"214"</f>
        <v>214</v>
      </c>
      <c r="G3793">
        <v>1</v>
      </c>
      <c r="H3793">
        <v>2023</v>
      </c>
      <c r="I3793" t="s">
        <v>3908</v>
      </c>
    </row>
    <row r="3794" spans="1:9" x14ac:dyDescent="0.3">
      <c r="A3794" t="s">
        <v>10140</v>
      </c>
      <c r="B3794" t="s">
        <v>85</v>
      </c>
      <c r="C3794">
        <v>9406582649</v>
      </c>
      <c r="D3794" s="2">
        <v>1</v>
      </c>
      <c r="E3794" t="str">
        <f>"4574674200824787"</f>
        <v>4574674200824787</v>
      </c>
      <c r="F3794" t="str">
        <f>"073"</f>
        <v>073</v>
      </c>
      <c r="G3794">
        <v>1</v>
      </c>
      <c r="H3794">
        <v>2023</v>
      </c>
      <c r="I3794" t="s">
        <v>3909</v>
      </c>
    </row>
    <row r="3795" spans="1:9" x14ac:dyDescent="0.3">
      <c r="A3795" t="s">
        <v>10140</v>
      </c>
      <c r="B3795" t="s">
        <v>85</v>
      </c>
      <c r="C3795">
        <v>9406582649</v>
      </c>
      <c r="D3795" s="2">
        <v>1</v>
      </c>
      <c r="E3795" t="str">
        <f>"4574674200824969"</f>
        <v>4574674200824969</v>
      </c>
      <c r="F3795" t="str">
        <f>"668"</f>
        <v>668</v>
      </c>
      <c r="G3795">
        <v>1</v>
      </c>
      <c r="H3795">
        <v>2023</v>
      </c>
      <c r="I3795" t="s">
        <v>3910</v>
      </c>
    </row>
    <row r="3796" spans="1:9" x14ac:dyDescent="0.3">
      <c r="A3796" t="s">
        <v>10140</v>
      </c>
      <c r="B3796" t="s">
        <v>85</v>
      </c>
      <c r="C3796">
        <v>9406582649</v>
      </c>
      <c r="D3796" s="2">
        <v>1</v>
      </c>
      <c r="E3796" t="str">
        <f>"4574674200824993"</f>
        <v>4574674200824993</v>
      </c>
      <c r="F3796" t="str">
        <f>"272"</f>
        <v>272</v>
      </c>
      <c r="G3796">
        <v>1</v>
      </c>
      <c r="H3796">
        <v>2023</v>
      </c>
      <c r="I3796" t="s">
        <v>3911</v>
      </c>
    </row>
    <row r="3797" spans="1:9" x14ac:dyDescent="0.3">
      <c r="A3797" t="s">
        <v>10140</v>
      </c>
      <c r="B3797" t="s">
        <v>85</v>
      </c>
      <c r="C3797">
        <v>9406582649</v>
      </c>
      <c r="D3797" s="2">
        <v>1</v>
      </c>
      <c r="E3797" t="str">
        <f>"4574674200825024"</f>
        <v>4574674200825024</v>
      </c>
      <c r="F3797" t="str">
        <f>"118"</f>
        <v>118</v>
      </c>
      <c r="G3797">
        <v>1</v>
      </c>
      <c r="H3797">
        <v>2023</v>
      </c>
      <c r="I3797" t="s">
        <v>3912</v>
      </c>
    </row>
    <row r="3798" spans="1:9" x14ac:dyDescent="0.3">
      <c r="A3798" t="s">
        <v>10140</v>
      </c>
      <c r="B3798" t="s">
        <v>85</v>
      </c>
      <c r="C3798">
        <v>9406582649</v>
      </c>
      <c r="D3798" s="2">
        <v>1</v>
      </c>
      <c r="E3798" t="str">
        <f>"4574674200825065"</f>
        <v>4574674200825065</v>
      </c>
      <c r="F3798" t="str">
        <f>"924"</f>
        <v>924</v>
      </c>
      <c r="G3798">
        <v>1</v>
      </c>
      <c r="H3798">
        <v>2023</v>
      </c>
      <c r="I3798" t="s">
        <v>3913</v>
      </c>
    </row>
    <row r="3799" spans="1:9" x14ac:dyDescent="0.3">
      <c r="A3799" t="s">
        <v>10140</v>
      </c>
      <c r="B3799" t="s">
        <v>85</v>
      </c>
      <c r="C3799">
        <v>9406582649</v>
      </c>
      <c r="D3799" s="2">
        <v>1</v>
      </c>
      <c r="E3799" t="str">
        <f>"4574674200825131"</f>
        <v>4574674200825131</v>
      </c>
      <c r="F3799" t="str">
        <f>"327"</f>
        <v>327</v>
      </c>
      <c r="G3799">
        <v>1</v>
      </c>
      <c r="H3799">
        <v>2023</v>
      </c>
      <c r="I3799" t="s">
        <v>3914</v>
      </c>
    </row>
    <row r="3800" spans="1:9" x14ac:dyDescent="0.3">
      <c r="A3800" t="s">
        <v>10141</v>
      </c>
      <c r="B3800" t="s">
        <v>86</v>
      </c>
      <c r="C3800">
        <v>9406582649</v>
      </c>
      <c r="D3800" s="2">
        <v>1</v>
      </c>
      <c r="E3800" t="str">
        <f>"4574674200825149"</f>
        <v>4574674200825149</v>
      </c>
      <c r="F3800" t="str">
        <f>"869"</f>
        <v>869</v>
      </c>
      <c r="G3800">
        <v>1</v>
      </c>
      <c r="H3800">
        <v>2023</v>
      </c>
      <c r="I3800" t="s">
        <v>3915</v>
      </c>
    </row>
    <row r="3801" spans="1:9" x14ac:dyDescent="0.3">
      <c r="A3801" t="s">
        <v>10141</v>
      </c>
      <c r="B3801" t="s">
        <v>86</v>
      </c>
      <c r="C3801">
        <v>9406582649</v>
      </c>
      <c r="D3801" s="2">
        <v>1</v>
      </c>
      <c r="E3801" t="str">
        <f>"4574674200825107"</f>
        <v>4574674200825107</v>
      </c>
      <c r="F3801" t="str">
        <f>"038"</f>
        <v>038</v>
      </c>
      <c r="G3801">
        <v>1</v>
      </c>
      <c r="H3801">
        <v>2023</v>
      </c>
      <c r="I3801" t="s">
        <v>3916</v>
      </c>
    </row>
    <row r="3802" spans="1:9" x14ac:dyDescent="0.3">
      <c r="A3802" t="s">
        <v>10141</v>
      </c>
      <c r="B3802" t="s">
        <v>86</v>
      </c>
      <c r="C3802">
        <v>9406582649</v>
      </c>
      <c r="D3802" s="2">
        <v>1</v>
      </c>
      <c r="E3802" t="str">
        <f>"4574674200825271"</f>
        <v>4574674200825271</v>
      </c>
      <c r="F3802" t="str">
        <f>"611"</f>
        <v>611</v>
      </c>
      <c r="G3802">
        <v>1</v>
      </c>
      <c r="H3802">
        <v>2023</v>
      </c>
      <c r="I3802" t="s">
        <v>3917</v>
      </c>
    </row>
    <row r="3803" spans="1:9" x14ac:dyDescent="0.3">
      <c r="A3803" t="s">
        <v>10141</v>
      </c>
      <c r="B3803" t="s">
        <v>86</v>
      </c>
      <c r="C3803">
        <v>9406582649</v>
      </c>
      <c r="D3803" s="2">
        <v>1</v>
      </c>
      <c r="E3803" t="str">
        <f>"4574674200825339"</f>
        <v>4574674200825339</v>
      </c>
      <c r="F3803" t="str">
        <f>"281"</f>
        <v>281</v>
      </c>
      <c r="G3803">
        <v>1</v>
      </c>
      <c r="H3803">
        <v>2023</v>
      </c>
      <c r="I3803" t="s">
        <v>3918</v>
      </c>
    </row>
    <row r="3804" spans="1:9" x14ac:dyDescent="0.3">
      <c r="A3804" t="s">
        <v>10141</v>
      </c>
      <c r="B3804" t="s">
        <v>86</v>
      </c>
      <c r="C3804">
        <v>9406582649</v>
      </c>
      <c r="D3804" s="2">
        <v>1</v>
      </c>
      <c r="E3804" t="str">
        <f>"4574674200825198"</f>
        <v>4574674200825198</v>
      </c>
      <c r="F3804" t="str">
        <f>"201"</f>
        <v>201</v>
      </c>
      <c r="G3804">
        <v>1</v>
      </c>
      <c r="H3804">
        <v>2023</v>
      </c>
      <c r="I3804" t="s">
        <v>3919</v>
      </c>
    </row>
    <row r="3805" spans="1:9" x14ac:dyDescent="0.3">
      <c r="A3805" t="s">
        <v>10141</v>
      </c>
      <c r="B3805" t="s">
        <v>86</v>
      </c>
      <c r="C3805">
        <v>9406582649</v>
      </c>
      <c r="D3805" s="2">
        <v>1</v>
      </c>
      <c r="E3805" t="str">
        <f>"4574674200825453"</f>
        <v>4574674200825453</v>
      </c>
      <c r="F3805" t="str">
        <f>"389"</f>
        <v>389</v>
      </c>
      <c r="G3805">
        <v>1</v>
      </c>
      <c r="H3805">
        <v>2023</v>
      </c>
      <c r="I3805" t="s">
        <v>3920</v>
      </c>
    </row>
    <row r="3806" spans="1:9" x14ac:dyDescent="0.3">
      <c r="A3806" t="s">
        <v>10141</v>
      </c>
      <c r="B3806" t="s">
        <v>86</v>
      </c>
      <c r="C3806">
        <v>9406582649</v>
      </c>
      <c r="D3806" s="2">
        <v>1</v>
      </c>
      <c r="E3806" t="str">
        <f>"4574674200825719"</f>
        <v>4574674200825719</v>
      </c>
      <c r="F3806" t="str">
        <f>"378"</f>
        <v>378</v>
      </c>
      <c r="G3806">
        <v>1</v>
      </c>
      <c r="H3806">
        <v>2023</v>
      </c>
      <c r="I3806" t="s">
        <v>3921</v>
      </c>
    </row>
    <row r="3807" spans="1:9" x14ac:dyDescent="0.3">
      <c r="A3807" t="s">
        <v>10141</v>
      </c>
      <c r="B3807" t="s">
        <v>86</v>
      </c>
      <c r="C3807">
        <v>9406582649</v>
      </c>
      <c r="D3807" s="2">
        <v>1</v>
      </c>
      <c r="E3807" t="str">
        <f>"4574674200825651"</f>
        <v>4574674200825651</v>
      </c>
      <c r="F3807" t="str">
        <f>"016"</f>
        <v>016</v>
      </c>
      <c r="G3807">
        <v>1</v>
      </c>
      <c r="H3807">
        <v>2023</v>
      </c>
      <c r="I3807" t="s">
        <v>3922</v>
      </c>
    </row>
    <row r="3808" spans="1:9" x14ac:dyDescent="0.3">
      <c r="A3808" t="s">
        <v>10141</v>
      </c>
      <c r="B3808" t="s">
        <v>86</v>
      </c>
      <c r="C3808">
        <v>9406582649</v>
      </c>
      <c r="D3808" s="2">
        <v>1</v>
      </c>
      <c r="E3808" t="str">
        <f>"4574674200825701"</f>
        <v>4574674200825701</v>
      </c>
      <c r="F3808" t="str">
        <f>"628"</f>
        <v>628</v>
      </c>
      <c r="G3808">
        <v>1</v>
      </c>
      <c r="H3808">
        <v>2023</v>
      </c>
      <c r="I3808" t="s">
        <v>3923</v>
      </c>
    </row>
    <row r="3809" spans="1:9" x14ac:dyDescent="0.3">
      <c r="A3809" t="s">
        <v>10141</v>
      </c>
      <c r="B3809" t="s">
        <v>86</v>
      </c>
      <c r="C3809">
        <v>9406582649</v>
      </c>
      <c r="D3809" s="2">
        <v>1</v>
      </c>
      <c r="E3809" t="str">
        <f>"4574674200825727"</f>
        <v>4574674200825727</v>
      </c>
      <c r="F3809" t="str">
        <f>"431"</f>
        <v>431</v>
      </c>
      <c r="G3809">
        <v>1</v>
      </c>
      <c r="H3809">
        <v>2023</v>
      </c>
      <c r="I3809" t="s">
        <v>3924</v>
      </c>
    </row>
    <row r="3810" spans="1:9" x14ac:dyDescent="0.3">
      <c r="A3810" t="s">
        <v>10142</v>
      </c>
      <c r="B3810" t="s">
        <v>87</v>
      </c>
      <c r="C3810">
        <v>9406582649</v>
      </c>
      <c r="D3810" s="2">
        <v>1</v>
      </c>
      <c r="E3810" t="str">
        <f>"4574674200825461"</f>
        <v>4574674200825461</v>
      </c>
      <c r="F3810" t="str">
        <f>"195"</f>
        <v>195</v>
      </c>
      <c r="G3810">
        <v>1</v>
      </c>
      <c r="H3810">
        <v>2023</v>
      </c>
      <c r="I3810" t="s">
        <v>3925</v>
      </c>
    </row>
    <row r="3811" spans="1:9" x14ac:dyDescent="0.3">
      <c r="A3811" t="s">
        <v>10142</v>
      </c>
      <c r="B3811" t="s">
        <v>87</v>
      </c>
      <c r="C3811">
        <v>9406582649</v>
      </c>
      <c r="D3811" s="2">
        <v>1</v>
      </c>
      <c r="E3811" t="str">
        <f>"4574674200825818"</f>
        <v>4574674200825818</v>
      </c>
      <c r="F3811" t="str">
        <f>"044"</f>
        <v>044</v>
      </c>
      <c r="G3811">
        <v>1</v>
      </c>
      <c r="H3811">
        <v>2023</v>
      </c>
      <c r="I3811" t="s">
        <v>3926</v>
      </c>
    </row>
    <row r="3812" spans="1:9" x14ac:dyDescent="0.3">
      <c r="A3812" t="s">
        <v>10142</v>
      </c>
      <c r="B3812" t="s">
        <v>87</v>
      </c>
      <c r="C3812">
        <v>9406582649</v>
      </c>
      <c r="D3812" s="2">
        <v>1</v>
      </c>
      <c r="E3812" t="str">
        <f>"4574674200825859"</f>
        <v>4574674200825859</v>
      </c>
      <c r="F3812" t="str">
        <f>"520"</f>
        <v>520</v>
      </c>
      <c r="G3812">
        <v>1</v>
      </c>
      <c r="H3812">
        <v>2023</v>
      </c>
      <c r="I3812" t="s">
        <v>3927</v>
      </c>
    </row>
    <row r="3813" spans="1:9" x14ac:dyDescent="0.3">
      <c r="A3813" t="s">
        <v>10142</v>
      </c>
      <c r="B3813" t="s">
        <v>87</v>
      </c>
      <c r="C3813">
        <v>9406582649</v>
      </c>
      <c r="D3813" s="2">
        <v>1</v>
      </c>
      <c r="E3813" t="str">
        <f>"4574674200825578"</f>
        <v>4574674200825578</v>
      </c>
      <c r="F3813" t="str">
        <f>"691"</f>
        <v>691</v>
      </c>
      <c r="G3813">
        <v>1</v>
      </c>
      <c r="H3813">
        <v>2023</v>
      </c>
      <c r="I3813" t="s">
        <v>3928</v>
      </c>
    </row>
    <row r="3814" spans="1:9" x14ac:dyDescent="0.3">
      <c r="A3814" t="s">
        <v>10142</v>
      </c>
      <c r="B3814" t="s">
        <v>87</v>
      </c>
      <c r="C3814">
        <v>9406582649</v>
      </c>
      <c r="D3814" s="2">
        <v>1</v>
      </c>
      <c r="E3814" t="str">
        <f>"4574674200825867"</f>
        <v>4574674200825867</v>
      </c>
      <c r="F3814" t="str">
        <f>"653"</f>
        <v>653</v>
      </c>
      <c r="G3814">
        <v>1</v>
      </c>
      <c r="H3814">
        <v>2023</v>
      </c>
      <c r="I3814" t="s">
        <v>3929</v>
      </c>
    </row>
    <row r="3815" spans="1:9" x14ac:dyDescent="0.3">
      <c r="A3815" t="s">
        <v>10142</v>
      </c>
      <c r="B3815" t="s">
        <v>87</v>
      </c>
      <c r="C3815">
        <v>9406582649</v>
      </c>
      <c r="D3815" s="2">
        <v>1</v>
      </c>
      <c r="E3815" t="str">
        <f>"4574674200825875"</f>
        <v>4574674200825875</v>
      </c>
      <c r="F3815" t="str">
        <f>"272"</f>
        <v>272</v>
      </c>
      <c r="G3815">
        <v>1</v>
      </c>
      <c r="H3815">
        <v>2023</v>
      </c>
      <c r="I3815" t="s">
        <v>3930</v>
      </c>
    </row>
    <row r="3816" spans="1:9" x14ac:dyDescent="0.3">
      <c r="A3816" t="s">
        <v>10142</v>
      </c>
      <c r="B3816" t="s">
        <v>87</v>
      </c>
      <c r="C3816">
        <v>9406582649</v>
      </c>
      <c r="D3816" s="2">
        <v>1</v>
      </c>
      <c r="E3816" t="str">
        <f>"4574674200825891"</f>
        <v>4574674200825891</v>
      </c>
      <c r="F3816" t="str">
        <f>"367"</f>
        <v>367</v>
      </c>
      <c r="G3816">
        <v>1</v>
      </c>
      <c r="H3816">
        <v>2023</v>
      </c>
      <c r="I3816" t="s">
        <v>3931</v>
      </c>
    </row>
    <row r="3817" spans="1:9" x14ac:dyDescent="0.3">
      <c r="A3817" t="s">
        <v>10142</v>
      </c>
      <c r="B3817" t="s">
        <v>87</v>
      </c>
      <c r="C3817">
        <v>9406582649</v>
      </c>
      <c r="D3817" s="2">
        <v>1</v>
      </c>
      <c r="E3817" t="str">
        <f>"4574674200825982"</f>
        <v>4574674200825982</v>
      </c>
      <c r="F3817" t="str">
        <f>"304"</f>
        <v>304</v>
      </c>
      <c r="G3817">
        <v>1</v>
      </c>
      <c r="H3817">
        <v>2023</v>
      </c>
      <c r="I3817" t="s">
        <v>3932</v>
      </c>
    </row>
    <row r="3818" spans="1:9" x14ac:dyDescent="0.3">
      <c r="A3818" t="s">
        <v>10142</v>
      </c>
      <c r="B3818" t="s">
        <v>87</v>
      </c>
      <c r="C3818">
        <v>9406582649</v>
      </c>
      <c r="D3818" s="2">
        <v>1</v>
      </c>
      <c r="E3818" t="str">
        <f>"4574674200826097"</f>
        <v>4574674200826097</v>
      </c>
      <c r="F3818" t="str">
        <f>"530"</f>
        <v>530</v>
      </c>
      <c r="G3818">
        <v>1</v>
      </c>
      <c r="H3818">
        <v>2023</v>
      </c>
      <c r="I3818" t="s">
        <v>3933</v>
      </c>
    </row>
    <row r="3819" spans="1:9" x14ac:dyDescent="0.3">
      <c r="A3819" t="s">
        <v>10142</v>
      </c>
      <c r="B3819" t="s">
        <v>87</v>
      </c>
      <c r="C3819">
        <v>9406582649</v>
      </c>
      <c r="D3819" s="2">
        <v>1</v>
      </c>
      <c r="E3819" t="str">
        <f>"4574674200826121"</f>
        <v>4574674200826121</v>
      </c>
      <c r="F3819" t="str">
        <f>"397"</f>
        <v>397</v>
      </c>
      <c r="G3819">
        <v>1</v>
      </c>
      <c r="H3819">
        <v>2023</v>
      </c>
      <c r="I3819" t="s">
        <v>3934</v>
      </c>
    </row>
    <row r="3820" spans="1:9" x14ac:dyDescent="0.3">
      <c r="A3820" t="s">
        <v>10143</v>
      </c>
      <c r="B3820" t="s">
        <v>88</v>
      </c>
      <c r="C3820">
        <v>9406582649</v>
      </c>
      <c r="D3820" s="2">
        <v>1</v>
      </c>
      <c r="E3820" t="str">
        <f>"4574674200826212"</f>
        <v>4574674200826212</v>
      </c>
      <c r="F3820" t="str">
        <f>"946"</f>
        <v>946</v>
      </c>
      <c r="G3820">
        <v>1</v>
      </c>
      <c r="H3820">
        <v>2023</v>
      </c>
      <c r="I3820" t="s">
        <v>3935</v>
      </c>
    </row>
    <row r="3821" spans="1:9" x14ac:dyDescent="0.3">
      <c r="A3821" t="s">
        <v>10143</v>
      </c>
      <c r="B3821" t="s">
        <v>88</v>
      </c>
      <c r="C3821">
        <v>9406582649</v>
      </c>
      <c r="D3821" s="2">
        <v>1</v>
      </c>
      <c r="E3821" t="str">
        <f>"4574674200826444"</f>
        <v>4574674200826444</v>
      </c>
      <c r="F3821" t="str">
        <f>"861"</f>
        <v>861</v>
      </c>
      <c r="G3821">
        <v>1</v>
      </c>
      <c r="H3821">
        <v>2023</v>
      </c>
      <c r="I3821" t="s">
        <v>3936</v>
      </c>
    </row>
    <row r="3822" spans="1:9" x14ac:dyDescent="0.3">
      <c r="A3822" t="s">
        <v>10143</v>
      </c>
      <c r="B3822" t="s">
        <v>88</v>
      </c>
      <c r="C3822">
        <v>9406582649</v>
      </c>
      <c r="D3822" s="2">
        <v>1</v>
      </c>
      <c r="E3822" t="str">
        <f>"4574674200826451"</f>
        <v>4574674200826451</v>
      </c>
      <c r="F3822" t="str">
        <f>"462"</f>
        <v>462</v>
      </c>
      <c r="G3822">
        <v>1</v>
      </c>
      <c r="H3822">
        <v>2023</v>
      </c>
      <c r="I3822" t="s">
        <v>3937</v>
      </c>
    </row>
    <row r="3823" spans="1:9" x14ac:dyDescent="0.3">
      <c r="A3823" t="s">
        <v>10143</v>
      </c>
      <c r="B3823" t="s">
        <v>88</v>
      </c>
      <c r="C3823">
        <v>9406582649</v>
      </c>
      <c r="D3823" s="2">
        <v>1</v>
      </c>
      <c r="E3823" t="str">
        <f>"4574674200826329"</f>
        <v>4574674200826329</v>
      </c>
      <c r="F3823" t="str">
        <f>"342"</f>
        <v>342</v>
      </c>
      <c r="G3823">
        <v>1</v>
      </c>
      <c r="H3823">
        <v>2023</v>
      </c>
      <c r="I3823" t="s">
        <v>3938</v>
      </c>
    </row>
    <row r="3824" spans="1:9" x14ac:dyDescent="0.3">
      <c r="A3824" t="s">
        <v>10143</v>
      </c>
      <c r="B3824" t="s">
        <v>88</v>
      </c>
      <c r="C3824">
        <v>9406582649</v>
      </c>
      <c r="D3824" s="2">
        <v>1</v>
      </c>
      <c r="E3824" t="str">
        <f>"4574674200826337"</f>
        <v>4574674200826337</v>
      </c>
      <c r="F3824" t="str">
        <f>"691"</f>
        <v>691</v>
      </c>
      <c r="G3824">
        <v>1</v>
      </c>
      <c r="H3824">
        <v>2023</v>
      </c>
      <c r="I3824" t="s">
        <v>3939</v>
      </c>
    </row>
    <row r="3825" spans="1:9" x14ac:dyDescent="0.3">
      <c r="A3825" t="s">
        <v>10143</v>
      </c>
      <c r="B3825" t="s">
        <v>88</v>
      </c>
      <c r="C3825">
        <v>9406582649</v>
      </c>
      <c r="D3825" s="2">
        <v>1</v>
      </c>
      <c r="E3825" t="str">
        <f>"4574674200826345"</f>
        <v>4574674200826345</v>
      </c>
      <c r="F3825" t="str">
        <f>"515"</f>
        <v>515</v>
      </c>
      <c r="G3825">
        <v>1</v>
      </c>
      <c r="H3825">
        <v>2023</v>
      </c>
      <c r="I3825" t="s">
        <v>3940</v>
      </c>
    </row>
    <row r="3826" spans="1:9" x14ac:dyDescent="0.3">
      <c r="A3826" t="s">
        <v>10143</v>
      </c>
      <c r="B3826" t="s">
        <v>88</v>
      </c>
      <c r="C3826">
        <v>9406582649</v>
      </c>
      <c r="D3826" s="2">
        <v>1</v>
      </c>
      <c r="E3826" t="str">
        <f>"4574674200826493"</f>
        <v>4574674200826493</v>
      </c>
      <c r="F3826" t="str">
        <f>"052"</f>
        <v>052</v>
      </c>
      <c r="G3826">
        <v>1</v>
      </c>
      <c r="H3826">
        <v>2023</v>
      </c>
      <c r="I3826" t="s">
        <v>3941</v>
      </c>
    </row>
    <row r="3827" spans="1:9" x14ac:dyDescent="0.3">
      <c r="A3827" t="s">
        <v>10143</v>
      </c>
      <c r="B3827" t="s">
        <v>88</v>
      </c>
      <c r="C3827">
        <v>9406582649</v>
      </c>
      <c r="D3827" s="2">
        <v>1</v>
      </c>
      <c r="E3827" t="str">
        <f>"4574674200826600"</f>
        <v>4574674200826600</v>
      </c>
      <c r="F3827" t="str">
        <f>"889"</f>
        <v>889</v>
      </c>
      <c r="G3827">
        <v>1</v>
      </c>
      <c r="H3827">
        <v>2023</v>
      </c>
      <c r="I3827" t="s">
        <v>3942</v>
      </c>
    </row>
    <row r="3828" spans="1:9" x14ac:dyDescent="0.3">
      <c r="A3828" t="s">
        <v>10143</v>
      </c>
      <c r="B3828" t="s">
        <v>88</v>
      </c>
      <c r="C3828">
        <v>9406582649</v>
      </c>
      <c r="D3828" s="2">
        <v>1</v>
      </c>
      <c r="E3828" t="str">
        <f>"4574674200826659"</f>
        <v>4574674200826659</v>
      </c>
      <c r="F3828" t="str">
        <f>"522"</f>
        <v>522</v>
      </c>
      <c r="G3828">
        <v>1</v>
      </c>
      <c r="H3828">
        <v>2023</v>
      </c>
      <c r="I3828" t="s">
        <v>3943</v>
      </c>
    </row>
    <row r="3829" spans="1:9" x14ac:dyDescent="0.3">
      <c r="A3829" t="s">
        <v>10143</v>
      </c>
      <c r="B3829" t="s">
        <v>88</v>
      </c>
      <c r="C3829">
        <v>9406582649</v>
      </c>
      <c r="D3829" s="2">
        <v>1</v>
      </c>
      <c r="E3829" t="str">
        <f>"4574674200826667"</f>
        <v>4574674200826667</v>
      </c>
      <c r="F3829" t="str">
        <f>"414"</f>
        <v>414</v>
      </c>
      <c r="G3829">
        <v>1</v>
      </c>
      <c r="H3829">
        <v>2023</v>
      </c>
      <c r="I3829" t="s">
        <v>3944</v>
      </c>
    </row>
    <row r="3830" spans="1:9" x14ac:dyDescent="0.3">
      <c r="A3830" t="s">
        <v>10144</v>
      </c>
      <c r="B3830" t="s">
        <v>89</v>
      </c>
      <c r="C3830">
        <v>9406582649</v>
      </c>
      <c r="D3830" s="2">
        <v>1</v>
      </c>
      <c r="E3830" t="str">
        <f>"4574674200826568"</f>
        <v>4574674200826568</v>
      </c>
      <c r="F3830" t="str">
        <f>"175"</f>
        <v>175</v>
      </c>
      <c r="G3830">
        <v>1</v>
      </c>
      <c r="H3830">
        <v>2023</v>
      </c>
      <c r="I3830" t="s">
        <v>3945</v>
      </c>
    </row>
    <row r="3831" spans="1:9" x14ac:dyDescent="0.3">
      <c r="A3831" t="s">
        <v>10144</v>
      </c>
      <c r="B3831" t="s">
        <v>89</v>
      </c>
      <c r="C3831">
        <v>9406582649</v>
      </c>
      <c r="D3831" s="2">
        <v>1</v>
      </c>
      <c r="E3831" t="str">
        <f>"4574674200826683"</f>
        <v>4574674200826683</v>
      </c>
      <c r="F3831" t="str">
        <f>"594"</f>
        <v>594</v>
      </c>
      <c r="G3831">
        <v>1</v>
      </c>
      <c r="H3831">
        <v>2023</v>
      </c>
      <c r="I3831" t="s">
        <v>3946</v>
      </c>
    </row>
    <row r="3832" spans="1:9" x14ac:dyDescent="0.3">
      <c r="A3832" t="s">
        <v>10144</v>
      </c>
      <c r="B3832" t="s">
        <v>89</v>
      </c>
      <c r="C3832">
        <v>9406582649</v>
      </c>
      <c r="D3832" s="2">
        <v>1</v>
      </c>
      <c r="E3832" t="str">
        <f>"4574674200826576"</f>
        <v>4574674200826576</v>
      </c>
      <c r="F3832" t="str">
        <f>"973"</f>
        <v>973</v>
      </c>
      <c r="G3832">
        <v>1</v>
      </c>
      <c r="H3832">
        <v>2023</v>
      </c>
      <c r="I3832" t="s">
        <v>3947</v>
      </c>
    </row>
    <row r="3833" spans="1:9" x14ac:dyDescent="0.3">
      <c r="A3833" t="s">
        <v>10144</v>
      </c>
      <c r="B3833" t="s">
        <v>89</v>
      </c>
      <c r="C3833">
        <v>9406582649</v>
      </c>
      <c r="D3833" s="2">
        <v>1</v>
      </c>
      <c r="E3833" t="str">
        <f>"4574674200826592"</f>
        <v>4574674200826592</v>
      </c>
      <c r="F3833" t="str">
        <f>"140"</f>
        <v>140</v>
      </c>
      <c r="G3833">
        <v>1</v>
      </c>
      <c r="H3833">
        <v>2023</v>
      </c>
      <c r="I3833" t="s">
        <v>3948</v>
      </c>
    </row>
    <row r="3834" spans="1:9" x14ac:dyDescent="0.3">
      <c r="A3834" t="s">
        <v>10144</v>
      </c>
      <c r="B3834" t="s">
        <v>89</v>
      </c>
      <c r="C3834">
        <v>9406582649</v>
      </c>
      <c r="D3834" s="2">
        <v>1</v>
      </c>
      <c r="E3834" t="str">
        <f>"4574674200826766"</f>
        <v>4574674200826766</v>
      </c>
      <c r="F3834" t="str">
        <f>"633"</f>
        <v>633</v>
      </c>
      <c r="G3834">
        <v>1</v>
      </c>
      <c r="H3834">
        <v>2023</v>
      </c>
      <c r="I3834" t="s">
        <v>3949</v>
      </c>
    </row>
    <row r="3835" spans="1:9" x14ac:dyDescent="0.3">
      <c r="A3835" t="s">
        <v>10144</v>
      </c>
      <c r="B3835" t="s">
        <v>89</v>
      </c>
      <c r="C3835">
        <v>9406582649</v>
      </c>
      <c r="D3835" s="2">
        <v>1</v>
      </c>
      <c r="E3835" t="str">
        <f>"4574674200827012"</f>
        <v>4574674200827012</v>
      </c>
      <c r="F3835" t="str">
        <f>"504"</f>
        <v>504</v>
      </c>
      <c r="G3835">
        <v>1</v>
      </c>
      <c r="H3835">
        <v>2023</v>
      </c>
      <c r="I3835" t="s">
        <v>3950</v>
      </c>
    </row>
    <row r="3836" spans="1:9" x14ac:dyDescent="0.3">
      <c r="A3836" t="s">
        <v>10144</v>
      </c>
      <c r="B3836" t="s">
        <v>89</v>
      </c>
      <c r="C3836">
        <v>9406582649</v>
      </c>
      <c r="D3836" s="2">
        <v>1</v>
      </c>
      <c r="E3836" t="str">
        <f>"4574674200827038"</f>
        <v>4574674200827038</v>
      </c>
      <c r="F3836" t="str">
        <f>"464"</f>
        <v>464</v>
      </c>
      <c r="G3836">
        <v>1</v>
      </c>
      <c r="H3836">
        <v>2023</v>
      </c>
      <c r="I3836" t="s">
        <v>3951</v>
      </c>
    </row>
    <row r="3837" spans="1:9" x14ac:dyDescent="0.3">
      <c r="A3837" t="s">
        <v>10144</v>
      </c>
      <c r="B3837" t="s">
        <v>89</v>
      </c>
      <c r="C3837">
        <v>9406582649</v>
      </c>
      <c r="D3837" s="2">
        <v>1</v>
      </c>
      <c r="E3837" t="str">
        <f>"4574674200827046"</f>
        <v>4574674200827046</v>
      </c>
      <c r="F3837" t="str">
        <f>"835"</f>
        <v>835</v>
      </c>
      <c r="G3837">
        <v>1</v>
      </c>
      <c r="H3837">
        <v>2023</v>
      </c>
      <c r="I3837" t="s">
        <v>3952</v>
      </c>
    </row>
    <row r="3838" spans="1:9" x14ac:dyDescent="0.3">
      <c r="A3838" t="s">
        <v>10144</v>
      </c>
      <c r="B3838" t="s">
        <v>89</v>
      </c>
      <c r="C3838">
        <v>9406582649</v>
      </c>
      <c r="D3838" s="2">
        <v>1</v>
      </c>
      <c r="E3838" t="str">
        <f>"4574674200826899"</f>
        <v>4574674200826899</v>
      </c>
      <c r="F3838" t="str">
        <f>"871"</f>
        <v>871</v>
      </c>
      <c r="G3838">
        <v>1</v>
      </c>
      <c r="H3838">
        <v>2023</v>
      </c>
      <c r="I3838" t="s">
        <v>3953</v>
      </c>
    </row>
    <row r="3839" spans="1:9" x14ac:dyDescent="0.3">
      <c r="A3839" t="s">
        <v>10144</v>
      </c>
      <c r="B3839" t="s">
        <v>89</v>
      </c>
      <c r="C3839">
        <v>9406582649</v>
      </c>
      <c r="D3839" s="2">
        <v>1</v>
      </c>
      <c r="E3839" t="str">
        <f>"4574674200826881"</f>
        <v>4574674200826881</v>
      </c>
      <c r="F3839" t="str">
        <f>"290"</f>
        <v>290</v>
      </c>
      <c r="G3839">
        <v>1</v>
      </c>
      <c r="H3839">
        <v>2023</v>
      </c>
      <c r="I3839" t="s">
        <v>3954</v>
      </c>
    </row>
    <row r="3840" spans="1:9" x14ac:dyDescent="0.3">
      <c r="A3840" t="s">
        <v>10145</v>
      </c>
      <c r="B3840" t="s">
        <v>90</v>
      </c>
      <c r="C3840">
        <v>9406582649</v>
      </c>
      <c r="D3840" s="2">
        <v>1</v>
      </c>
      <c r="E3840" t="str">
        <f>"4574674200826907"</f>
        <v>4574674200826907</v>
      </c>
      <c r="F3840" t="str">
        <f>"780"</f>
        <v>780</v>
      </c>
      <c r="G3840">
        <v>1</v>
      </c>
      <c r="H3840">
        <v>2023</v>
      </c>
      <c r="I3840" t="s">
        <v>3955</v>
      </c>
    </row>
    <row r="3841" spans="1:9" x14ac:dyDescent="0.3">
      <c r="A3841" t="s">
        <v>10145</v>
      </c>
      <c r="B3841" t="s">
        <v>90</v>
      </c>
      <c r="C3841">
        <v>9406582649</v>
      </c>
      <c r="D3841" s="2">
        <v>1</v>
      </c>
      <c r="E3841" t="str">
        <f>"4574674200827103"</f>
        <v>4574674200827103</v>
      </c>
      <c r="F3841" t="str">
        <f>"989"</f>
        <v>989</v>
      </c>
      <c r="G3841">
        <v>1</v>
      </c>
      <c r="H3841">
        <v>2023</v>
      </c>
      <c r="I3841" t="s">
        <v>3956</v>
      </c>
    </row>
    <row r="3842" spans="1:9" x14ac:dyDescent="0.3">
      <c r="A3842" t="s">
        <v>10145</v>
      </c>
      <c r="B3842" t="s">
        <v>90</v>
      </c>
      <c r="C3842">
        <v>9406582649</v>
      </c>
      <c r="D3842" s="2">
        <v>1</v>
      </c>
      <c r="E3842" t="str">
        <f>"4574674200827152"</f>
        <v>4574674200827152</v>
      </c>
      <c r="F3842" t="str">
        <f>"899"</f>
        <v>899</v>
      </c>
      <c r="G3842">
        <v>1</v>
      </c>
      <c r="H3842">
        <v>2023</v>
      </c>
      <c r="I3842" t="s">
        <v>3957</v>
      </c>
    </row>
    <row r="3843" spans="1:9" x14ac:dyDescent="0.3">
      <c r="A3843" t="s">
        <v>10145</v>
      </c>
      <c r="B3843" t="s">
        <v>90</v>
      </c>
      <c r="C3843">
        <v>9406582649</v>
      </c>
      <c r="D3843" s="2">
        <v>1</v>
      </c>
      <c r="E3843" t="str">
        <f>"4574674200827202"</f>
        <v>4574674200827202</v>
      </c>
      <c r="F3843" t="str">
        <f>"558"</f>
        <v>558</v>
      </c>
      <c r="G3843">
        <v>1</v>
      </c>
      <c r="H3843">
        <v>2023</v>
      </c>
      <c r="I3843" t="s">
        <v>3958</v>
      </c>
    </row>
    <row r="3844" spans="1:9" x14ac:dyDescent="0.3">
      <c r="A3844" t="s">
        <v>10145</v>
      </c>
      <c r="B3844" t="s">
        <v>90</v>
      </c>
      <c r="C3844">
        <v>9406582649</v>
      </c>
      <c r="D3844" s="2">
        <v>1</v>
      </c>
      <c r="E3844" t="str">
        <f>"4574674200827186"</f>
        <v>4574674200827186</v>
      </c>
      <c r="F3844" t="str">
        <f>"970"</f>
        <v>970</v>
      </c>
      <c r="G3844">
        <v>1</v>
      </c>
      <c r="H3844">
        <v>2023</v>
      </c>
      <c r="I3844" t="s">
        <v>3959</v>
      </c>
    </row>
    <row r="3845" spans="1:9" x14ac:dyDescent="0.3">
      <c r="A3845" t="s">
        <v>10145</v>
      </c>
      <c r="B3845" t="s">
        <v>90</v>
      </c>
      <c r="C3845">
        <v>9406582649</v>
      </c>
      <c r="D3845" s="2">
        <v>1</v>
      </c>
      <c r="E3845" t="str">
        <f>"4574674200826956"</f>
        <v>4574674200826956</v>
      </c>
      <c r="F3845" t="str">
        <f>"568"</f>
        <v>568</v>
      </c>
      <c r="G3845">
        <v>1</v>
      </c>
      <c r="H3845">
        <v>2023</v>
      </c>
      <c r="I3845" t="s">
        <v>3960</v>
      </c>
    </row>
    <row r="3846" spans="1:9" x14ac:dyDescent="0.3">
      <c r="A3846" t="s">
        <v>10145</v>
      </c>
      <c r="B3846" t="s">
        <v>90</v>
      </c>
      <c r="C3846">
        <v>9406582649</v>
      </c>
      <c r="D3846" s="2">
        <v>1</v>
      </c>
      <c r="E3846" t="str">
        <f>"4574674200826972"</f>
        <v>4574674200826972</v>
      </c>
      <c r="F3846" t="str">
        <f>"155"</f>
        <v>155</v>
      </c>
      <c r="G3846">
        <v>1</v>
      </c>
      <c r="H3846">
        <v>2023</v>
      </c>
      <c r="I3846" t="s">
        <v>3961</v>
      </c>
    </row>
    <row r="3847" spans="1:9" x14ac:dyDescent="0.3">
      <c r="A3847" t="s">
        <v>10145</v>
      </c>
      <c r="B3847" t="s">
        <v>90</v>
      </c>
      <c r="C3847">
        <v>9406582649</v>
      </c>
      <c r="D3847" s="2">
        <v>1</v>
      </c>
      <c r="E3847" t="str">
        <f>"4574674200827442"</f>
        <v>4574674200827442</v>
      </c>
      <c r="F3847" t="str">
        <f>"945"</f>
        <v>945</v>
      </c>
      <c r="G3847">
        <v>1</v>
      </c>
      <c r="H3847">
        <v>2023</v>
      </c>
      <c r="I3847" t="s">
        <v>3962</v>
      </c>
    </row>
    <row r="3848" spans="1:9" x14ac:dyDescent="0.3">
      <c r="A3848" t="s">
        <v>10145</v>
      </c>
      <c r="B3848" t="s">
        <v>90</v>
      </c>
      <c r="C3848">
        <v>9406582649</v>
      </c>
      <c r="D3848" s="2">
        <v>1</v>
      </c>
      <c r="E3848" t="str">
        <f>"4574674200827657"</f>
        <v>4574674200827657</v>
      </c>
      <c r="F3848" t="str">
        <f>"850"</f>
        <v>850</v>
      </c>
      <c r="G3848">
        <v>1</v>
      </c>
      <c r="H3848">
        <v>2023</v>
      </c>
      <c r="I3848" t="s">
        <v>3963</v>
      </c>
    </row>
    <row r="3849" spans="1:9" x14ac:dyDescent="0.3">
      <c r="A3849" t="s">
        <v>10145</v>
      </c>
      <c r="B3849" t="s">
        <v>90</v>
      </c>
      <c r="C3849">
        <v>9406582649</v>
      </c>
      <c r="D3849" s="2">
        <v>1</v>
      </c>
      <c r="E3849" t="str">
        <f>"4574674200828606"</f>
        <v>4574674200828606</v>
      </c>
      <c r="F3849" t="str">
        <f>"532"</f>
        <v>532</v>
      </c>
      <c r="G3849">
        <v>1</v>
      </c>
      <c r="H3849">
        <v>2023</v>
      </c>
      <c r="I3849" t="s">
        <v>3964</v>
      </c>
    </row>
    <row r="3850" spans="1:9" x14ac:dyDescent="0.3">
      <c r="A3850" t="s">
        <v>10146</v>
      </c>
      <c r="B3850" t="s">
        <v>91</v>
      </c>
      <c r="C3850">
        <v>9406582649</v>
      </c>
      <c r="D3850" s="2">
        <v>1</v>
      </c>
      <c r="E3850" t="str">
        <f>"4574674200828556"</f>
        <v>4574674200828556</v>
      </c>
      <c r="F3850" t="str">
        <f>"035"</f>
        <v>035</v>
      </c>
      <c r="G3850">
        <v>1</v>
      </c>
      <c r="H3850">
        <v>2023</v>
      </c>
      <c r="I3850" t="s">
        <v>3965</v>
      </c>
    </row>
    <row r="3851" spans="1:9" x14ac:dyDescent="0.3">
      <c r="A3851" t="s">
        <v>10146</v>
      </c>
      <c r="B3851" t="s">
        <v>91</v>
      </c>
      <c r="C3851">
        <v>9406582649</v>
      </c>
      <c r="D3851" s="2">
        <v>1</v>
      </c>
      <c r="E3851" t="str">
        <f>"4574674200828671"</f>
        <v>4574674200828671</v>
      </c>
      <c r="F3851" t="str">
        <f>"801"</f>
        <v>801</v>
      </c>
      <c r="G3851">
        <v>1</v>
      </c>
      <c r="H3851">
        <v>2023</v>
      </c>
      <c r="I3851" t="s">
        <v>3966</v>
      </c>
    </row>
    <row r="3852" spans="1:9" x14ac:dyDescent="0.3">
      <c r="A3852" t="s">
        <v>10146</v>
      </c>
      <c r="B3852" t="s">
        <v>91</v>
      </c>
      <c r="C3852">
        <v>9406582649</v>
      </c>
      <c r="D3852" s="2">
        <v>1</v>
      </c>
      <c r="E3852" t="str">
        <f>"4574674200828689"</f>
        <v>4574674200828689</v>
      </c>
      <c r="F3852" t="str">
        <f>"403"</f>
        <v>403</v>
      </c>
      <c r="G3852">
        <v>1</v>
      </c>
      <c r="H3852">
        <v>2023</v>
      </c>
      <c r="I3852" t="s">
        <v>3967</v>
      </c>
    </row>
    <row r="3853" spans="1:9" x14ac:dyDescent="0.3">
      <c r="A3853" t="s">
        <v>10146</v>
      </c>
      <c r="B3853" t="s">
        <v>91</v>
      </c>
      <c r="C3853">
        <v>9406582649</v>
      </c>
      <c r="D3853" s="2">
        <v>1</v>
      </c>
      <c r="E3853" t="str">
        <f>"4574674200828739"</f>
        <v>4574674200828739</v>
      </c>
      <c r="F3853" t="str">
        <f>"663"</f>
        <v>663</v>
      </c>
      <c r="G3853">
        <v>1</v>
      </c>
      <c r="H3853">
        <v>2023</v>
      </c>
      <c r="I3853" t="s">
        <v>3968</v>
      </c>
    </row>
    <row r="3854" spans="1:9" x14ac:dyDescent="0.3">
      <c r="A3854" t="s">
        <v>10146</v>
      </c>
      <c r="B3854" t="s">
        <v>91</v>
      </c>
      <c r="C3854">
        <v>9406582649</v>
      </c>
      <c r="D3854" s="2">
        <v>1</v>
      </c>
      <c r="E3854" t="str">
        <f>"4574674200828812"</f>
        <v>4574674200828812</v>
      </c>
      <c r="F3854" t="str">
        <f>"337"</f>
        <v>337</v>
      </c>
      <c r="G3854">
        <v>1</v>
      </c>
      <c r="H3854">
        <v>2023</v>
      </c>
      <c r="I3854" t="s">
        <v>3969</v>
      </c>
    </row>
    <row r="3855" spans="1:9" x14ac:dyDescent="0.3">
      <c r="A3855" t="s">
        <v>10146</v>
      </c>
      <c r="B3855" t="s">
        <v>91</v>
      </c>
      <c r="C3855">
        <v>9406582649</v>
      </c>
      <c r="D3855" s="2">
        <v>1</v>
      </c>
      <c r="E3855" t="str">
        <f>"4574674200828754"</f>
        <v>4574674200828754</v>
      </c>
      <c r="F3855" t="str">
        <f>"848"</f>
        <v>848</v>
      </c>
      <c r="G3855">
        <v>1</v>
      </c>
      <c r="H3855">
        <v>2023</v>
      </c>
      <c r="I3855" t="s">
        <v>3970</v>
      </c>
    </row>
    <row r="3856" spans="1:9" x14ac:dyDescent="0.3">
      <c r="A3856" t="s">
        <v>10146</v>
      </c>
      <c r="B3856" t="s">
        <v>91</v>
      </c>
      <c r="C3856">
        <v>9406582649</v>
      </c>
      <c r="D3856" s="2">
        <v>1</v>
      </c>
      <c r="E3856" t="str">
        <f>"4574674200829034"</f>
        <v>4574674200829034</v>
      </c>
      <c r="F3856" t="str">
        <f>"268"</f>
        <v>268</v>
      </c>
      <c r="G3856">
        <v>1</v>
      </c>
      <c r="H3856">
        <v>2023</v>
      </c>
      <c r="I3856" t="s">
        <v>3971</v>
      </c>
    </row>
    <row r="3857" spans="1:9" x14ac:dyDescent="0.3">
      <c r="A3857" t="s">
        <v>10146</v>
      </c>
      <c r="B3857" t="s">
        <v>91</v>
      </c>
      <c r="C3857">
        <v>9406582649</v>
      </c>
      <c r="D3857" s="2">
        <v>1</v>
      </c>
      <c r="E3857" t="str">
        <f>"4574674200828861"</f>
        <v>4574674200828861</v>
      </c>
      <c r="F3857" t="str">
        <f>"715"</f>
        <v>715</v>
      </c>
      <c r="G3857">
        <v>1</v>
      </c>
      <c r="H3857">
        <v>2023</v>
      </c>
      <c r="I3857" t="s">
        <v>3972</v>
      </c>
    </row>
    <row r="3858" spans="1:9" x14ac:dyDescent="0.3">
      <c r="A3858" t="s">
        <v>10146</v>
      </c>
      <c r="B3858" t="s">
        <v>91</v>
      </c>
      <c r="C3858">
        <v>9406582649</v>
      </c>
      <c r="D3858" s="2">
        <v>1</v>
      </c>
      <c r="E3858" t="str">
        <f>"4574674200828903"</f>
        <v>4574674200828903</v>
      </c>
      <c r="F3858" t="str">
        <f>"157"</f>
        <v>157</v>
      </c>
      <c r="G3858">
        <v>1</v>
      </c>
      <c r="H3858">
        <v>2023</v>
      </c>
      <c r="I3858" t="s">
        <v>3973</v>
      </c>
    </row>
    <row r="3859" spans="1:9" x14ac:dyDescent="0.3">
      <c r="A3859" t="s">
        <v>10146</v>
      </c>
      <c r="B3859" t="s">
        <v>91</v>
      </c>
      <c r="C3859">
        <v>9406582649</v>
      </c>
      <c r="D3859" s="2">
        <v>1</v>
      </c>
      <c r="E3859" t="str">
        <f>"4574674200829141"</f>
        <v>4574674200829141</v>
      </c>
      <c r="F3859" t="str">
        <f>"713"</f>
        <v>713</v>
      </c>
      <c r="G3859">
        <v>1</v>
      </c>
      <c r="H3859">
        <v>2023</v>
      </c>
      <c r="I3859" t="s">
        <v>3974</v>
      </c>
    </row>
    <row r="3860" spans="1:9" x14ac:dyDescent="0.3">
      <c r="A3860" t="s">
        <v>10147</v>
      </c>
      <c r="B3860" t="s">
        <v>92</v>
      </c>
      <c r="C3860">
        <v>9406582649</v>
      </c>
      <c r="D3860" s="2">
        <v>1</v>
      </c>
      <c r="E3860" t="str">
        <f>"4574674200829133"</f>
        <v>4574674200829133</v>
      </c>
      <c r="F3860" t="str">
        <f>"444"</f>
        <v>444</v>
      </c>
      <c r="G3860">
        <v>1</v>
      </c>
      <c r="H3860">
        <v>2023</v>
      </c>
      <c r="I3860" t="s">
        <v>3975</v>
      </c>
    </row>
    <row r="3861" spans="1:9" x14ac:dyDescent="0.3">
      <c r="A3861" t="s">
        <v>10147</v>
      </c>
      <c r="B3861" t="s">
        <v>92</v>
      </c>
      <c r="C3861">
        <v>9406582649</v>
      </c>
      <c r="D3861" s="2">
        <v>1</v>
      </c>
      <c r="E3861" t="str">
        <f>"4574674200829174"</f>
        <v>4574674200829174</v>
      </c>
      <c r="F3861" t="str">
        <f>"380"</f>
        <v>380</v>
      </c>
      <c r="G3861">
        <v>1</v>
      </c>
      <c r="H3861">
        <v>2023</v>
      </c>
      <c r="I3861" t="s">
        <v>3976</v>
      </c>
    </row>
    <row r="3862" spans="1:9" x14ac:dyDescent="0.3">
      <c r="A3862" t="s">
        <v>10147</v>
      </c>
      <c r="B3862" t="s">
        <v>92</v>
      </c>
      <c r="C3862">
        <v>9406582649</v>
      </c>
      <c r="D3862" s="2">
        <v>1</v>
      </c>
      <c r="E3862" t="str">
        <f>"4574674200828960"</f>
        <v>4574674200828960</v>
      </c>
      <c r="F3862" t="str">
        <f>"527"</f>
        <v>527</v>
      </c>
      <c r="G3862">
        <v>1</v>
      </c>
      <c r="H3862">
        <v>2023</v>
      </c>
      <c r="I3862" t="s">
        <v>3977</v>
      </c>
    </row>
    <row r="3863" spans="1:9" x14ac:dyDescent="0.3">
      <c r="A3863" t="s">
        <v>10147</v>
      </c>
      <c r="B3863" t="s">
        <v>92</v>
      </c>
      <c r="C3863">
        <v>9406582649</v>
      </c>
      <c r="D3863" s="2">
        <v>1</v>
      </c>
      <c r="E3863" t="str">
        <f>"4574674200828986"</f>
        <v>4574674200828986</v>
      </c>
      <c r="F3863" t="str">
        <f>"207"</f>
        <v>207</v>
      </c>
      <c r="G3863">
        <v>1</v>
      </c>
      <c r="H3863">
        <v>2023</v>
      </c>
      <c r="I3863" t="s">
        <v>3978</v>
      </c>
    </row>
    <row r="3864" spans="1:9" x14ac:dyDescent="0.3">
      <c r="A3864" t="s">
        <v>10147</v>
      </c>
      <c r="B3864" t="s">
        <v>92</v>
      </c>
      <c r="C3864">
        <v>9406582649</v>
      </c>
      <c r="D3864" s="2">
        <v>1</v>
      </c>
      <c r="E3864" t="str">
        <f>"4574674200829240"</f>
        <v>4574674200829240</v>
      </c>
      <c r="F3864" t="str">
        <f>"511"</f>
        <v>511</v>
      </c>
      <c r="G3864">
        <v>1</v>
      </c>
      <c r="H3864">
        <v>2023</v>
      </c>
      <c r="I3864" t="s">
        <v>3979</v>
      </c>
    </row>
    <row r="3865" spans="1:9" x14ac:dyDescent="0.3">
      <c r="A3865" t="s">
        <v>10147</v>
      </c>
      <c r="B3865" t="s">
        <v>92</v>
      </c>
      <c r="C3865">
        <v>9406582649</v>
      </c>
      <c r="D3865" s="2">
        <v>1</v>
      </c>
      <c r="E3865" t="str">
        <f>"4574674200829265"</f>
        <v>4574674200829265</v>
      </c>
      <c r="F3865" t="str">
        <f>"217"</f>
        <v>217</v>
      </c>
      <c r="G3865">
        <v>1</v>
      </c>
      <c r="H3865">
        <v>2023</v>
      </c>
      <c r="I3865" t="s">
        <v>3980</v>
      </c>
    </row>
    <row r="3866" spans="1:9" x14ac:dyDescent="0.3">
      <c r="A3866" t="s">
        <v>10147</v>
      </c>
      <c r="B3866" t="s">
        <v>92</v>
      </c>
      <c r="C3866">
        <v>9406582649</v>
      </c>
      <c r="D3866" s="2">
        <v>1</v>
      </c>
      <c r="E3866" t="str">
        <f>"4574674200829349"</f>
        <v>4574674200829349</v>
      </c>
      <c r="F3866" t="str">
        <f>"097"</f>
        <v>097</v>
      </c>
      <c r="G3866">
        <v>1</v>
      </c>
      <c r="H3866">
        <v>2023</v>
      </c>
      <c r="I3866" t="s">
        <v>3981</v>
      </c>
    </row>
    <row r="3867" spans="1:9" x14ac:dyDescent="0.3">
      <c r="A3867" t="s">
        <v>10147</v>
      </c>
      <c r="B3867" t="s">
        <v>92</v>
      </c>
      <c r="C3867">
        <v>9406582649</v>
      </c>
      <c r="D3867" s="2">
        <v>1</v>
      </c>
      <c r="E3867" t="str">
        <f>"4574674200829364"</f>
        <v>4574674200829364</v>
      </c>
      <c r="F3867" t="str">
        <f>"846"</f>
        <v>846</v>
      </c>
      <c r="G3867">
        <v>1</v>
      </c>
      <c r="H3867">
        <v>2023</v>
      </c>
      <c r="I3867" t="s">
        <v>3982</v>
      </c>
    </row>
    <row r="3868" spans="1:9" x14ac:dyDescent="0.3">
      <c r="A3868" t="s">
        <v>10147</v>
      </c>
      <c r="B3868" t="s">
        <v>92</v>
      </c>
      <c r="C3868">
        <v>9406582649</v>
      </c>
      <c r="D3868" s="2">
        <v>1</v>
      </c>
      <c r="E3868" t="str">
        <f>"4574674200829448"</f>
        <v>4574674200829448</v>
      </c>
      <c r="F3868" t="str">
        <f>"819"</f>
        <v>819</v>
      </c>
      <c r="G3868">
        <v>1</v>
      </c>
      <c r="H3868">
        <v>2023</v>
      </c>
      <c r="I3868" t="s">
        <v>3983</v>
      </c>
    </row>
    <row r="3869" spans="1:9" x14ac:dyDescent="0.3">
      <c r="A3869" t="s">
        <v>10147</v>
      </c>
      <c r="B3869" t="s">
        <v>92</v>
      </c>
      <c r="C3869">
        <v>9406582649</v>
      </c>
      <c r="D3869" s="2">
        <v>1</v>
      </c>
      <c r="E3869" t="str">
        <f>"4574674200829612"</f>
        <v>4574674200829612</v>
      </c>
      <c r="F3869" t="str">
        <f>"260"</f>
        <v>260</v>
      </c>
      <c r="G3869">
        <v>1</v>
      </c>
      <c r="H3869">
        <v>2023</v>
      </c>
      <c r="I3869" t="s">
        <v>3984</v>
      </c>
    </row>
    <row r="3870" spans="1:9" x14ac:dyDescent="0.3">
      <c r="A3870" t="s">
        <v>10148</v>
      </c>
      <c r="B3870" t="s">
        <v>93</v>
      </c>
      <c r="C3870">
        <v>9406582649</v>
      </c>
      <c r="D3870" s="2">
        <v>1</v>
      </c>
      <c r="E3870" t="str">
        <f>"4574674200829620"</f>
        <v>4574674200829620</v>
      </c>
      <c r="F3870" t="str">
        <f>"734"</f>
        <v>734</v>
      </c>
      <c r="G3870">
        <v>1</v>
      </c>
      <c r="H3870">
        <v>2023</v>
      </c>
      <c r="I3870" t="s">
        <v>3985</v>
      </c>
    </row>
    <row r="3871" spans="1:9" x14ac:dyDescent="0.3">
      <c r="A3871" t="s">
        <v>10148</v>
      </c>
      <c r="B3871" t="s">
        <v>93</v>
      </c>
      <c r="C3871">
        <v>9406582649</v>
      </c>
      <c r="D3871" s="2">
        <v>1</v>
      </c>
      <c r="E3871" t="str">
        <f>"4574674200829687"</f>
        <v>4574674200829687</v>
      </c>
      <c r="F3871" t="str">
        <f>"108"</f>
        <v>108</v>
      </c>
      <c r="G3871">
        <v>1</v>
      </c>
      <c r="H3871">
        <v>2023</v>
      </c>
      <c r="I3871" t="s">
        <v>3986</v>
      </c>
    </row>
    <row r="3872" spans="1:9" x14ac:dyDescent="0.3">
      <c r="A3872" t="s">
        <v>10148</v>
      </c>
      <c r="B3872" t="s">
        <v>93</v>
      </c>
      <c r="C3872">
        <v>9406582649</v>
      </c>
      <c r="D3872" s="2">
        <v>1</v>
      </c>
      <c r="E3872" t="str">
        <f>"4574674200829497"</f>
        <v>4574674200829497</v>
      </c>
      <c r="F3872" t="str">
        <f>"418"</f>
        <v>418</v>
      </c>
      <c r="G3872">
        <v>1</v>
      </c>
      <c r="H3872">
        <v>2023</v>
      </c>
      <c r="I3872" t="s">
        <v>3987</v>
      </c>
    </row>
    <row r="3873" spans="1:9" x14ac:dyDescent="0.3">
      <c r="A3873" t="s">
        <v>10148</v>
      </c>
      <c r="B3873" t="s">
        <v>93</v>
      </c>
      <c r="C3873">
        <v>9406582649</v>
      </c>
      <c r="D3873" s="2">
        <v>1</v>
      </c>
      <c r="E3873" t="str">
        <f>"4574674200829513"</f>
        <v>4574674200829513</v>
      </c>
      <c r="F3873" t="str">
        <f>"365"</f>
        <v>365</v>
      </c>
      <c r="G3873">
        <v>1</v>
      </c>
      <c r="H3873">
        <v>2023</v>
      </c>
      <c r="I3873" t="s">
        <v>3988</v>
      </c>
    </row>
    <row r="3874" spans="1:9" x14ac:dyDescent="0.3">
      <c r="A3874" t="s">
        <v>10148</v>
      </c>
      <c r="B3874" t="s">
        <v>93</v>
      </c>
      <c r="C3874">
        <v>9406582649</v>
      </c>
      <c r="D3874" s="2">
        <v>1</v>
      </c>
      <c r="E3874" t="str">
        <f>"4574674200829752"</f>
        <v>4574674200829752</v>
      </c>
      <c r="F3874" t="str">
        <f>"166"</f>
        <v>166</v>
      </c>
      <c r="G3874">
        <v>1</v>
      </c>
      <c r="H3874">
        <v>2023</v>
      </c>
      <c r="I3874" t="s">
        <v>3989</v>
      </c>
    </row>
    <row r="3875" spans="1:9" x14ac:dyDescent="0.3">
      <c r="A3875" t="s">
        <v>10148</v>
      </c>
      <c r="B3875" t="s">
        <v>93</v>
      </c>
      <c r="C3875">
        <v>9406582649</v>
      </c>
      <c r="D3875" s="2">
        <v>1</v>
      </c>
      <c r="E3875" t="str">
        <f>"4574674200829778"</f>
        <v>4574674200829778</v>
      </c>
      <c r="F3875" t="str">
        <f>"928"</f>
        <v>928</v>
      </c>
      <c r="G3875">
        <v>1</v>
      </c>
      <c r="H3875">
        <v>2023</v>
      </c>
      <c r="I3875" t="s">
        <v>3990</v>
      </c>
    </row>
    <row r="3876" spans="1:9" x14ac:dyDescent="0.3">
      <c r="A3876" t="s">
        <v>10148</v>
      </c>
      <c r="B3876" t="s">
        <v>93</v>
      </c>
      <c r="C3876">
        <v>9406582649</v>
      </c>
      <c r="D3876" s="2">
        <v>1</v>
      </c>
      <c r="E3876" t="str">
        <f>"4574674200829794"</f>
        <v>4574674200829794</v>
      </c>
      <c r="F3876" t="str">
        <f>"871"</f>
        <v>871</v>
      </c>
      <c r="G3876">
        <v>1</v>
      </c>
      <c r="H3876">
        <v>2023</v>
      </c>
      <c r="I3876" t="s">
        <v>3991</v>
      </c>
    </row>
    <row r="3877" spans="1:9" x14ac:dyDescent="0.3">
      <c r="A3877" t="s">
        <v>10148</v>
      </c>
      <c r="B3877" t="s">
        <v>93</v>
      </c>
      <c r="C3877">
        <v>9406582649</v>
      </c>
      <c r="D3877" s="2">
        <v>1</v>
      </c>
      <c r="E3877" t="str">
        <f>"4574674200829844"</f>
        <v>4574674200829844</v>
      </c>
      <c r="F3877" t="str">
        <f>"083"</f>
        <v>083</v>
      </c>
      <c r="G3877">
        <v>1</v>
      </c>
      <c r="H3877">
        <v>2023</v>
      </c>
      <c r="I3877" t="s">
        <v>3992</v>
      </c>
    </row>
    <row r="3878" spans="1:9" x14ac:dyDescent="0.3">
      <c r="A3878" t="s">
        <v>10148</v>
      </c>
      <c r="B3878" t="s">
        <v>93</v>
      </c>
      <c r="C3878">
        <v>9406582649</v>
      </c>
      <c r="D3878" s="2">
        <v>1</v>
      </c>
      <c r="E3878" t="str">
        <f>"4574674200829554"</f>
        <v>4574674200829554</v>
      </c>
      <c r="F3878" t="str">
        <f>"351"</f>
        <v>351</v>
      </c>
      <c r="G3878">
        <v>1</v>
      </c>
      <c r="H3878">
        <v>2023</v>
      </c>
      <c r="I3878" t="s">
        <v>3993</v>
      </c>
    </row>
    <row r="3879" spans="1:9" x14ac:dyDescent="0.3">
      <c r="A3879" t="s">
        <v>10148</v>
      </c>
      <c r="B3879" t="s">
        <v>93</v>
      </c>
      <c r="C3879">
        <v>9406582649</v>
      </c>
      <c r="D3879" s="2">
        <v>1</v>
      </c>
      <c r="E3879" t="str">
        <f>"4574674200830008"</f>
        <v>4574674200830008</v>
      </c>
      <c r="F3879" t="str">
        <f>"866"</f>
        <v>866</v>
      </c>
      <c r="G3879">
        <v>1</v>
      </c>
      <c r="H3879">
        <v>2023</v>
      </c>
      <c r="I3879" t="s">
        <v>3994</v>
      </c>
    </row>
    <row r="3880" spans="1:9" x14ac:dyDescent="0.3">
      <c r="A3880" t="s">
        <v>10149</v>
      </c>
      <c r="B3880" t="s">
        <v>94</v>
      </c>
      <c r="C3880">
        <v>9406582649</v>
      </c>
      <c r="D3880" s="2">
        <v>1</v>
      </c>
      <c r="E3880" t="str">
        <f>"4574674200829851"</f>
        <v>4574674200829851</v>
      </c>
      <c r="F3880" t="str">
        <f>"940"</f>
        <v>940</v>
      </c>
      <c r="G3880">
        <v>1</v>
      </c>
      <c r="H3880">
        <v>2023</v>
      </c>
      <c r="I3880" t="s">
        <v>3995</v>
      </c>
    </row>
    <row r="3881" spans="1:9" x14ac:dyDescent="0.3">
      <c r="A3881" t="s">
        <v>10149</v>
      </c>
      <c r="B3881" t="s">
        <v>94</v>
      </c>
      <c r="C3881">
        <v>9406582649</v>
      </c>
      <c r="D3881" s="2">
        <v>1</v>
      </c>
      <c r="E3881" t="str">
        <f>"4574674200830024"</f>
        <v>4574674200830024</v>
      </c>
      <c r="F3881" t="str">
        <f>"231"</f>
        <v>231</v>
      </c>
      <c r="G3881">
        <v>1</v>
      </c>
      <c r="H3881">
        <v>2023</v>
      </c>
      <c r="I3881" t="s">
        <v>3996</v>
      </c>
    </row>
    <row r="3882" spans="1:9" x14ac:dyDescent="0.3">
      <c r="A3882" t="s">
        <v>10149</v>
      </c>
      <c r="B3882" t="s">
        <v>94</v>
      </c>
      <c r="C3882">
        <v>9406582649</v>
      </c>
      <c r="D3882" s="2">
        <v>1</v>
      </c>
      <c r="E3882" t="str">
        <f>"4574674200829885"</f>
        <v>4574674200829885</v>
      </c>
      <c r="F3882" t="str">
        <f>"970"</f>
        <v>970</v>
      </c>
      <c r="G3882">
        <v>1</v>
      </c>
      <c r="H3882">
        <v>2023</v>
      </c>
      <c r="I3882" t="s">
        <v>3997</v>
      </c>
    </row>
    <row r="3883" spans="1:9" x14ac:dyDescent="0.3">
      <c r="A3883" t="s">
        <v>10149</v>
      </c>
      <c r="B3883" t="s">
        <v>94</v>
      </c>
      <c r="C3883">
        <v>9406582649</v>
      </c>
      <c r="D3883" s="2">
        <v>1</v>
      </c>
      <c r="E3883" t="str">
        <f>"4574674200829968"</f>
        <v>4574674200829968</v>
      </c>
      <c r="F3883" t="str">
        <f>"472"</f>
        <v>472</v>
      </c>
      <c r="G3883">
        <v>1</v>
      </c>
      <c r="H3883">
        <v>2023</v>
      </c>
      <c r="I3883" t="s">
        <v>3998</v>
      </c>
    </row>
    <row r="3884" spans="1:9" x14ac:dyDescent="0.3">
      <c r="A3884" t="s">
        <v>10149</v>
      </c>
      <c r="B3884" t="s">
        <v>94</v>
      </c>
      <c r="C3884">
        <v>9406582649</v>
      </c>
      <c r="D3884" s="2">
        <v>1</v>
      </c>
      <c r="E3884" t="str">
        <f>"4574674200829984"</f>
        <v>4574674200829984</v>
      </c>
      <c r="F3884" t="str">
        <f>"104"</f>
        <v>104</v>
      </c>
      <c r="G3884">
        <v>1</v>
      </c>
      <c r="H3884">
        <v>2023</v>
      </c>
      <c r="I3884" t="s">
        <v>3999</v>
      </c>
    </row>
    <row r="3885" spans="1:9" x14ac:dyDescent="0.3">
      <c r="A3885" t="s">
        <v>10149</v>
      </c>
      <c r="B3885" t="s">
        <v>94</v>
      </c>
      <c r="C3885">
        <v>9406582649</v>
      </c>
      <c r="D3885" s="2">
        <v>1</v>
      </c>
      <c r="E3885" t="str">
        <f>"4574674200830073"</f>
        <v>4574674200830073</v>
      </c>
      <c r="F3885" t="str">
        <f>"570"</f>
        <v>570</v>
      </c>
      <c r="G3885">
        <v>1</v>
      </c>
      <c r="H3885">
        <v>2023</v>
      </c>
      <c r="I3885" t="s">
        <v>4000</v>
      </c>
    </row>
    <row r="3886" spans="1:9" x14ac:dyDescent="0.3">
      <c r="A3886" t="s">
        <v>10149</v>
      </c>
      <c r="B3886" t="s">
        <v>94</v>
      </c>
      <c r="C3886">
        <v>9406582649</v>
      </c>
      <c r="D3886" s="2">
        <v>1</v>
      </c>
      <c r="E3886" t="str">
        <f>"4574674200830263"</f>
        <v>4574674200830263</v>
      </c>
      <c r="F3886" t="str">
        <f>"244"</f>
        <v>244</v>
      </c>
      <c r="G3886">
        <v>1</v>
      </c>
      <c r="H3886">
        <v>2023</v>
      </c>
      <c r="I3886" t="s">
        <v>4001</v>
      </c>
    </row>
    <row r="3887" spans="1:9" x14ac:dyDescent="0.3">
      <c r="A3887" t="s">
        <v>10149</v>
      </c>
      <c r="B3887" t="s">
        <v>94</v>
      </c>
      <c r="C3887">
        <v>9406582649</v>
      </c>
      <c r="D3887" s="2">
        <v>1</v>
      </c>
      <c r="E3887" t="str">
        <f>"4574674200830123"</f>
        <v>4574674200830123</v>
      </c>
      <c r="F3887" t="str">
        <f>"346"</f>
        <v>346</v>
      </c>
      <c r="G3887">
        <v>1</v>
      </c>
      <c r="H3887">
        <v>2023</v>
      </c>
      <c r="I3887" t="s">
        <v>4002</v>
      </c>
    </row>
    <row r="3888" spans="1:9" x14ac:dyDescent="0.3">
      <c r="A3888" t="s">
        <v>10149</v>
      </c>
      <c r="B3888" t="s">
        <v>94</v>
      </c>
      <c r="C3888">
        <v>9406582649</v>
      </c>
      <c r="D3888" s="2">
        <v>1</v>
      </c>
      <c r="E3888" t="str">
        <f>"4574674200830149"</f>
        <v>4574674200830149</v>
      </c>
      <c r="F3888" t="str">
        <f>"602"</f>
        <v>602</v>
      </c>
      <c r="G3888">
        <v>1</v>
      </c>
      <c r="H3888">
        <v>2023</v>
      </c>
      <c r="I3888" t="s">
        <v>4003</v>
      </c>
    </row>
    <row r="3889" spans="1:9" x14ac:dyDescent="0.3">
      <c r="A3889" t="s">
        <v>10149</v>
      </c>
      <c r="B3889" t="s">
        <v>94</v>
      </c>
      <c r="C3889">
        <v>9406582649</v>
      </c>
      <c r="D3889" s="2">
        <v>1</v>
      </c>
      <c r="E3889" t="str">
        <f>"4574674200830321"</f>
        <v>4574674200830321</v>
      </c>
      <c r="F3889" t="str">
        <f>"160"</f>
        <v>160</v>
      </c>
      <c r="G3889">
        <v>1</v>
      </c>
      <c r="H3889">
        <v>2023</v>
      </c>
      <c r="I3889" t="s">
        <v>4004</v>
      </c>
    </row>
    <row r="3890" spans="1:9" x14ac:dyDescent="0.3">
      <c r="A3890" t="s">
        <v>10118</v>
      </c>
      <c r="B3890" t="s">
        <v>95</v>
      </c>
      <c r="C3890">
        <v>9406582649</v>
      </c>
      <c r="D3890" s="2">
        <v>1</v>
      </c>
      <c r="E3890" t="str">
        <f>"4574674200830347"</f>
        <v>4574674200830347</v>
      </c>
      <c r="F3890" t="str">
        <f>"117"</f>
        <v>117</v>
      </c>
      <c r="G3890">
        <v>1</v>
      </c>
      <c r="H3890">
        <v>2023</v>
      </c>
      <c r="I3890" t="s">
        <v>4005</v>
      </c>
    </row>
    <row r="3891" spans="1:9" x14ac:dyDescent="0.3">
      <c r="A3891" t="s">
        <v>10118</v>
      </c>
      <c r="B3891" t="s">
        <v>95</v>
      </c>
      <c r="C3891">
        <v>9406582649</v>
      </c>
      <c r="D3891" s="2">
        <v>1</v>
      </c>
      <c r="E3891" t="str">
        <f>"4574674200830370"</f>
        <v>4574674200830370</v>
      </c>
      <c r="F3891" t="str">
        <f>"270"</f>
        <v>270</v>
      </c>
      <c r="G3891">
        <v>1</v>
      </c>
      <c r="H3891">
        <v>2023</v>
      </c>
      <c r="I3891" t="s">
        <v>4006</v>
      </c>
    </row>
    <row r="3892" spans="1:9" x14ac:dyDescent="0.3">
      <c r="A3892" t="s">
        <v>10118</v>
      </c>
      <c r="B3892" t="s">
        <v>95</v>
      </c>
      <c r="C3892">
        <v>9406582649</v>
      </c>
      <c r="D3892" s="2">
        <v>1</v>
      </c>
      <c r="E3892" t="str">
        <f>"4574674200830172"</f>
        <v>4574674200830172</v>
      </c>
      <c r="F3892" t="str">
        <f>"661"</f>
        <v>661</v>
      </c>
      <c r="G3892">
        <v>1</v>
      </c>
      <c r="H3892">
        <v>2023</v>
      </c>
      <c r="I3892" t="s">
        <v>4007</v>
      </c>
    </row>
    <row r="3893" spans="1:9" x14ac:dyDescent="0.3">
      <c r="A3893" t="s">
        <v>10118</v>
      </c>
      <c r="B3893" t="s">
        <v>95</v>
      </c>
      <c r="C3893">
        <v>9406582649</v>
      </c>
      <c r="D3893" s="2">
        <v>1</v>
      </c>
      <c r="E3893" t="str">
        <f>"4574674200830495"</f>
        <v>4574674200830495</v>
      </c>
      <c r="F3893" t="str">
        <f>"272"</f>
        <v>272</v>
      </c>
      <c r="G3893">
        <v>1</v>
      </c>
      <c r="H3893">
        <v>2023</v>
      </c>
      <c r="I3893" t="s">
        <v>4008</v>
      </c>
    </row>
    <row r="3894" spans="1:9" x14ac:dyDescent="0.3">
      <c r="A3894" t="s">
        <v>10118</v>
      </c>
      <c r="B3894" t="s">
        <v>95</v>
      </c>
      <c r="C3894">
        <v>9406582649</v>
      </c>
      <c r="D3894" s="2">
        <v>1</v>
      </c>
      <c r="E3894" t="str">
        <f>"4574674200830487"</f>
        <v>4574674200830487</v>
      </c>
      <c r="F3894" t="str">
        <f>"202"</f>
        <v>202</v>
      </c>
      <c r="G3894">
        <v>1</v>
      </c>
      <c r="H3894">
        <v>2023</v>
      </c>
      <c r="I3894" t="s">
        <v>4009</v>
      </c>
    </row>
    <row r="3895" spans="1:9" x14ac:dyDescent="0.3">
      <c r="A3895" t="s">
        <v>10118</v>
      </c>
      <c r="B3895" t="s">
        <v>95</v>
      </c>
      <c r="C3895">
        <v>9406582649</v>
      </c>
      <c r="D3895" s="2">
        <v>1</v>
      </c>
      <c r="E3895" t="str">
        <f>"4574674200830503"</f>
        <v>4574674200830503</v>
      </c>
      <c r="F3895" t="str">
        <f>"751"</f>
        <v>751</v>
      </c>
      <c r="G3895">
        <v>1</v>
      </c>
      <c r="H3895">
        <v>2023</v>
      </c>
      <c r="I3895" t="s">
        <v>4010</v>
      </c>
    </row>
    <row r="3896" spans="1:9" x14ac:dyDescent="0.3">
      <c r="A3896" t="s">
        <v>10118</v>
      </c>
      <c r="B3896" t="s">
        <v>95</v>
      </c>
      <c r="C3896">
        <v>9406582649</v>
      </c>
      <c r="D3896" s="2">
        <v>1</v>
      </c>
      <c r="E3896" t="str">
        <f>"4574674200830651"</f>
        <v>4574674200830651</v>
      </c>
      <c r="F3896" t="str">
        <f>"114"</f>
        <v>114</v>
      </c>
      <c r="G3896">
        <v>1</v>
      </c>
      <c r="H3896">
        <v>2023</v>
      </c>
      <c r="I3896" t="s">
        <v>4011</v>
      </c>
    </row>
    <row r="3897" spans="1:9" x14ac:dyDescent="0.3">
      <c r="A3897" t="s">
        <v>10118</v>
      </c>
      <c r="B3897" t="s">
        <v>95</v>
      </c>
      <c r="C3897">
        <v>9406582649</v>
      </c>
      <c r="D3897" s="2">
        <v>1</v>
      </c>
      <c r="E3897" t="str">
        <f>"4574674200830644"</f>
        <v>4574674200830644</v>
      </c>
      <c r="F3897" t="str">
        <f>"406"</f>
        <v>406</v>
      </c>
      <c r="G3897">
        <v>1</v>
      </c>
      <c r="H3897">
        <v>2023</v>
      </c>
      <c r="I3897" t="s">
        <v>4012</v>
      </c>
    </row>
    <row r="3898" spans="1:9" x14ac:dyDescent="0.3">
      <c r="A3898" t="s">
        <v>10118</v>
      </c>
      <c r="B3898" t="s">
        <v>95</v>
      </c>
      <c r="C3898">
        <v>9406582649</v>
      </c>
      <c r="D3898" s="2">
        <v>1</v>
      </c>
      <c r="E3898" t="str">
        <f>"4574674200830560"</f>
        <v>4574674200830560</v>
      </c>
      <c r="F3898" t="str">
        <f>"930"</f>
        <v>930</v>
      </c>
      <c r="G3898">
        <v>1</v>
      </c>
      <c r="H3898">
        <v>2023</v>
      </c>
      <c r="I3898" t="s">
        <v>4013</v>
      </c>
    </row>
    <row r="3899" spans="1:9" x14ac:dyDescent="0.3">
      <c r="A3899" t="s">
        <v>10118</v>
      </c>
      <c r="B3899" t="s">
        <v>95</v>
      </c>
      <c r="C3899">
        <v>9406582649</v>
      </c>
      <c r="D3899" s="2">
        <v>1</v>
      </c>
      <c r="E3899" t="str">
        <f>"4574674200830834"</f>
        <v>4574674200830834</v>
      </c>
      <c r="F3899" t="str">
        <f>"311"</f>
        <v>311</v>
      </c>
      <c r="G3899">
        <v>1</v>
      </c>
      <c r="H3899">
        <v>2023</v>
      </c>
      <c r="I3899" t="s">
        <v>4014</v>
      </c>
    </row>
    <row r="3900" spans="1:9" x14ac:dyDescent="0.3">
      <c r="A3900" t="s">
        <v>10119</v>
      </c>
      <c r="B3900" t="s">
        <v>96</v>
      </c>
      <c r="C3900">
        <v>9406582649</v>
      </c>
      <c r="D3900" s="2">
        <v>1</v>
      </c>
      <c r="E3900" t="str">
        <f>"4574674200830693"</f>
        <v>4574674200830693</v>
      </c>
      <c r="F3900" t="str">
        <f>"619"</f>
        <v>619</v>
      </c>
      <c r="G3900">
        <v>1</v>
      </c>
      <c r="H3900">
        <v>2023</v>
      </c>
      <c r="I3900" t="s">
        <v>4015</v>
      </c>
    </row>
    <row r="3901" spans="1:9" x14ac:dyDescent="0.3">
      <c r="A3901" t="s">
        <v>10119</v>
      </c>
      <c r="B3901" t="s">
        <v>96</v>
      </c>
      <c r="C3901">
        <v>9406582649</v>
      </c>
      <c r="D3901" s="2">
        <v>1</v>
      </c>
      <c r="E3901" t="str">
        <f>"4574674200830867"</f>
        <v>4574674200830867</v>
      </c>
      <c r="F3901" t="str">
        <f>"669"</f>
        <v>669</v>
      </c>
      <c r="G3901">
        <v>1</v>
      </c>
      <c r="H3901">
        <v>2023</v>
      </c>
      <c r="I3901" t="s">
        <v>4016</v>
      </c>
    </row>
    <row r="3902" spans="1:9" x14ac:dyDescent="0.3">
      <c r="A3902" t="s">
        <v>10119</v>
      </c>
      <c r="B3902" t="s">
        <v>96</v>
      </c>
      <c r="C3902">
        <v>9406582649</v>
      </c>
      <c r="D3902" s="2">
        <v>1</v>
      </c>
      <c r="E3902" t="str">
        <f>"4574674200830875"</f>
        <v>4574674200830875</v>
      </c>
      <c r="F3902" t="str">
        <f>"654"</f>
        <v>654</v>
      </c>
      <c r="G3902">
        <v>1</v>
      </c>
      <c r="H3902">
        <v>2023</v>
      </c>
      <c r="I3902" t="s">
        <v>4017</v>
      </c>
    </row>
    <row r="3903" spans="1:9" x14ac:dyDescent="0.3">
      <c r="A3903" t="s">
        <v>10119</v>
      </c>
      <c r="B3903" t="s">
        <v>96</v>
      </c>
      <c r="C3903">
        <v>9406582649</v>
      </c>
      <c r="D3903" s="2">
        <v>1</v>
      </c>
      <c r="E3903" t="str">
        <f>"4574674200830727"</f>
        <v>4574674200830727</v>
      </c>
      <c r="F3903" t="str">
        <f>"559"</f>
        <v>559</v>
      </c>
      <c r="G3903">
        <v>1</v>
      </c>
      <c r="H3903">
        <v>2023</v>
      </c>
      <c r="I3903" t="s">
        <v>4018</v>
      </c>
    </row>
    <row r="3904" spans="1:9" x14ac:dyDescent="0.3">
      <c r="A3904" t="s">
        <v>10119</v>
      </c>
      <c r="B3904" t="s">
        <v>96</v>
      </c>
      <c r="C3904">
        <v>9406582649</v>
      </c>
      <c r="D3904" s="2">
        <v>1</v>
      </c>
      <c r="E3904" t="str">
        <f>"4574674200830735"</f>
        <v>4574674200830735</v>
      </c>
      <c r="F3904" t="str">
        <f>"732"</f>
        <v>732</v>
      </c>
      <c r="G3904">
        <v>1</v>
      </c>
      <c r="H3904">
        <v>2023</v>
      </c>
      <c r="I3904" t="s">
        <v>4019</v>
      </c>
    </row>
    <row r="3905" spans="1:9" x14ac:dyDescent="0.3">
      <c r="A3905" t="s">
        <v>10119</v>
      </c>
      <c r="B3905" t="s">
        <v>96</v>
      </c>
      <c r="C3905">
        <v>9406582649</v>
      </c>
      <c r="D3905" s="2">
        <v>1</v>
      </c>
      <c r="E3905" t="str">
        <f>"4574674200830933"</f>
        <v>4574674200830933</v>
      </c>
      <c r="F3905" t="str">
        <f>"289"</f>
        <v>289</v>
      </c>
      <c r="G3905">
        <v>1</v>
      </c>
      <c r="H3905">
        <v>2023</v>
      </c>
      <c r="I3905" t="s">
        <v>4020</v>
      </c>
    </row>
    <row r="3906" spans="1:9" x14ac:dyDescent="0.3">
      <c r="A3906" t="s">
        <v>10119</v>
      </c>
      <c r="B3906" t="s">
        <v>96</v>
      </c>
      <c r="C3906">
        <v>9406582649</v>
      </c>
      <c r="D3906" s="2">
        <v>1</v>
      </c>
      <c r="E3906" t="str">
        <f>"4574674200830958"</f>
        <v>4574674200830958</v>
      </c>
      <c r="F3906" t="str">
        <f>"047"</f>
        <v>047</v>
      </c>
      <c r="G3906">
        <v>1</v>
      </c>
      <c r="H3906">
        <v>2023</v>
      </c>
      <c r="I3906" t="s">
        <v>4021</v>
      </c>
    </row>
    <row r="3907" spans="1:9" x14ac:dyDescent="0.3">
      <c r="A3907" t="s">
        <v>10119</v>
      </c>
      <c r="B3907" t="s">
        <v>96</v>
      </c>
      <c r="C3907">
        <v>9406582649</v>
      </c>
      <c r="D3907" s="2">
        <v>1</v>
      </c>
      <c r="E3907" t="str">
        <f>"4574674200831014"</f>
        <v>4574674200831014</v>
      </c>
      <c r="F3907" t="str">
        <f>"571"</f>
        <v>571</v>
      </c>
      <c r="G3907">
        <v>1</v>
      </c>
      <c r="H3907">
        <v>2023</v>
      </c>
      <c r="I3907" t="s">
        <v>4022</v>
      </c>
    </row>
    <row r="3908" spans="1:9" x14ac:dyDescent="0.3">
      <c r="A3908" t="s">
        <v>10119</v>
      </c>
      <c r="B3908" t="s">
        <v>96</v>
      </c>
      <c r="C3908">
        <v>9406582649</v>
      </c>
      <c r="D3908" s="2">
        <v>1</v>
      </c>
      <c r="E3908" t="str">
        <f>"4574674200831030"</f>
        <v>4574674200831030</v>
      </c>
      <c r="F3908" t="str">
        <f>"444"</f>
        <v>444</v>
      </c>
      <c r="G3908">
        <v>1</v>
      </c>
      <c r="H3908">
        <v>2023</v>
      </c>
      <c r="I3908" t="s">
        <v>4023</v>
      </c>
    </row>
    <row r="3909" spans="1:9" x14ac:dyDescent="0.3">
      <c r="A3909" t="s">
        <v>10119</v>
      </c>
      <c r="B3909" t="s">
        <v>96</v>
      </c>
      <c r="C3909">
        <v>9406582649</v>
      </c>
      <c r="D3909" s="2">
        <v>1</v>
      </c>
      <c r="E3909" t="str">
        <f>"4574674200831212"</f>
        <v>4574674200831212</v>
      </c>
      <c r="F3909" t="str">
        <f>"612"</f>
        <v>612</v>
      </c>
      <c r="G3909">
        <v>1</v>
      </c>
      <c r="H3909">
        <v>2023</v>
      </c>
      <c r="I3909" t="s">
        <v>4024</v>
      </c>
    </row>
    <row r="3910" spans="1:9" x14ac:dyDescent="0.3">
      <c r="A3910" t="s">
        <v>10120</v>
      </c>
      <c r="B3910" t="s">
        <v>97</v>
      </c>
      <c r="C3910">
        <v>9406582649</v>
      </c>
      <c r="D3910" s="2">
        <v>1</v>
      </c>
      <c r="E3910" t="str">
        <f>"4574674200831105"</f>
        <v>4574674200831105</v>
      </c>
      <c r="F3910" t="str">
        <f>"354"</f>
        <v>354</v>
      </c>
      <c r="G3910">
        <v>1</v>
      </c>
      <c r="H3910">
        <v>2023</v>
      </c>
      <c r="I3910" t="s">
        <v>4025</v>
      </c>
    </row>
    <row r="3911" spans="1:9" x14ac:dyDescent="0.3">
      <c r="A3911" t="s">
        <v>10120</v>
      </c>
      <c r="B3911" t="s">
        <v>97</v>
      </c>
      <c r="C3911">
        <v>9406582649</v>
      </c>
      <c r="D3911" s="2">
        <v>1</v>
      </c>
      <c r="E3911" t="str">
        <f>"4574674200831113"</f>
        <v>4574674200831113</v>
      </c>
      <c r="F3911" t="str">
        <f>"106"</f>
        <v>106</v>
      </c>
      <c r="G3911">
        <v>1</v>
      </c>
      <c r="H3911">
        <v>2023</v>
      </c>
      <c r="I3911" t="s">
        <v>4026</v>
      </c>
    </row>
    <row r="3912" spans="1:9" x14ac:dyDescent="0.3">
      <c r="A3912" t="s">
        <v>10120</v>
      </c>
      <c r="B3912" t="s">
        <v>97</v>
      </c>
      <c r="C3912">
        <v>9406582649</v>
      </c>
      <c r="D3912" s="2">
        <v>1</v>
      </c>
      <c r="E3912" t="str">
        <f>"4574674200831170"</f>
        <v>4574674200831170</v>
      </c>
      <c r="F3912" t="str">
        <f>"879"</f>
        <v>879</v>
      </c>
      <c r="G3912">
        <v>1</v>
      </c>
      <c r="H3912">
        <v>2023</v>
      </c>
      <c r="I3912" t="s">
        <v>4027</v>
      </c>
    </row>
    <row r="3913" spans="1:9" x14ac:dyDescent="0.3">
      <c r="A3913" t="s">
        <v>10120</v>
      </c>
      <c r="B3913" t="s">
        <v>97</v>
      </c>
      <c r="C3913">
        <v>9406582649</v>
      </c>
      <c r="D3913" s="2">
        <v>1</v>
      </c>
      <c r="E3913" t="str">
        <f>"4574674200831246"</f>
        <v>4574674200831246</v>
      </c>
      <c r="F3913" t="str">
        <f>"190"</f>
        <v>190</v>
      </c>
      <c r="G3913">
        <v>1</v>
      </c>
      <c r="H3913">
        <v>2023</v>
      </c>
      <c r="I3913" t="s">
        <v>4028</v>
      </c>
    </row>
    <row r="3914" spans="1:9" x14ac:dyDescent="0.3">
      <c r="A3914" t="s">
        <v>10120</v>
      </c>
      <c r="B3914" t="s">
        <v>97</v>
      </c>
      <c r="C3914">
        <v>9406582649</v>
      </c>
      <c r="D3914" s="2">
        <v>1</v>
      </c>
      <c r="E3914" t="str">
        <f>"4574674200831253"</f>
        <v>4574674200831253</v>
      </c>
      <c r="F3914" t="str">
        <f>"959"</f>
        <v>959</v>
      </c>
      <c r="G3914">
        <v>1</v>
      </c>
      <c r="H3914">
        <v>2023</v>
      </c>
      <c r="I3914" t="s">
        <v>4029</v>
      </c>
    </row>
    <row r="3915" spans="1:9" x14ac:dyDescent="0.3">
      <c r="A3915" t="s">
        <v>10120</v>
      </c>
      <c r="B3915" t="s">
        <v>97</v>
      </c>
      <c r="C3915">
        <v>9406582649</v>
      </c>
      <c r="D3915" s="2">
        <v>1</v>
      </c>
      <c r="E3915" t="str">
        <f>"4574674200831402"</f>
        <v>4574674200831402</v>
      </c>
      <c r="F3915" t="str">
        <f>"625"</f>
        <v>625</v>
      </c>
      <c r="G3915">
        <v>1</v>
      </c>
      <c r="H3915">
        <v>2023</v>
      </c>
      <c r="I3915" t="s">
        <v>4030</v>
      </c>
    </row>
    <row r="3916" spans="1:9" x14ac:dyDescent="0.3">
      <c r="A3916" t="s">
        <v>10120</v>
      </c>
      <c r="B3916" t="s">
        <v>97</v>
      </c>
      <c r="C3916">
        <v>9406582649</v>
      </c>
      <c r="D3916" s="2">
        <v>1</v>
      </c>
      <c r="E3916" t="str">
        <f>"4574674200831469"</f>
        <v>4574674200831469</v>
      </c>
      <c r="F3916" t="str">
        <f>"039"</f>
        <v>039</v>
      </c>
      <c r="G3916">
        <v>1</v>
      </c>
      <c r="H3916">
        <v>2023</v>
      </c>
      <c r="I3916" t="s">
        <v>4031</v>
      </c>
    </row>
    <row r="3917" spans="1:9" x14ac:dyDescent="0.3">
      <c r="A3917" t="s">
        <v>10120</v>
      </c>
      <c r="B3917" t="s">
        <v>97</v>
      </c>
      <c r="C3917">
        <v>9406582649</v>
      </c>
      <c r="D3917" s="2">
        <v>1</v>
      </c>
      <c r="E3917" t="str">
        <f>"4574674200831477"</f>
        <v>4574674200831477</v>
      </c>
      <c r="F3917" t="str">
        <f>"054"</f>
        <v>054</v>
      </c>
      <c r="G3917">
        <v>1</v>
      </c>
      <c r="H3917">
        <v>2023</v>
      </c>
      <c r="I3917" t="s">
        <v>4032</v>
      </c>
    </row>
    <row r="3918" spans="1:9" x14ac:dyDescent="0.3">
      <c r="A3918" t="s">
        <v>10120</v>
      </c>
      <c r="B3918" t="s">
        <v>97</v>
      </c>
      <c r="C3918">
        <v>9406582649</v>
      </c>
      <c r="D3918" s="2">
        <v>1</v>
      </c>
      <c r="E3918" t="str">
        <f>"4574674200831519"</f>
        <v>4574674200831519</v>
      </c>
      <c r="F3918" t="str">
        <f>"377"</f>
        <v>377</v>
      </c>
      <c r="G3918">
        <v>1</v>
      </c>
      <c r="H3918">
        <v>2023</v>
      </c>
      <c r="I3918" t="s">
        <v>4033</v>
      </c>
    </row>
    <row r="3919" spans="1:9" x14ac:dyDescent="0.3">
      <c r="A3919" t="s">
        <v>10120</v>
      </c>
      <c r="B3919" t="s">
        <v>97</v>
      </c>
      <c r="C3919">
        <v>9406582649</v>
      </c>
      <c r="D3919" s="2">
        <v>1</v>
      </c>
      <c r="E3919" t="str">
        <f>"4574674200831337"</f>
        <v>4574674200831337</v>
      </c>
      <c r="F3919" t="str">
        <f>"508"</f>
        <v>508</v>
      </c>
      <c r="G3919">
        <v>1</v>
      </c>
      <c r="H3919">
        <v>2023</v>
      </c>
      <c r="I3919" t="s">
        <v>4034</v>
      </c>
    </row>
    <row r="3920" spans="1:9" x14ac:dyDescent="0.3">
      <c r="A3920" t="s">
        <v>10121</v>
      </c>
      <c r="B3920" t="s">
        <v>98</v>
      </c>
      <c r="C3920">
        <v>9406582649</v>
      </c>
      <c r="D3920" s="2">
        <v>1</v>
      </c>
      <c r="E3920" t="str">
        <f>"4574674200831550"</f>
        <v>4574674200831550</v>
      </c>
      <c r="F3920" t="str">
        <f>"358"</f>
        <v>358</v>
      </c>
      <c r="G3920">
        <v>1</v>
      </c>
      <c r="H3920">
        <v>2023</v>
      </c>
      <c r="I3920" t="s">
        <v>4035</v>
      </c>
    </row>
    <row r="3921" spans="1:9" x14ac:dyDescent="0.3">
      <c r="A3921" t="s">
        <v>10121</v>
      </c>
      <c r="B3921" t="s">
        <v>98</v>
      </c>
      <c r="C3921">
        <v>9406582649</v>
      </c>
      <c r="D3921" s="2">
        <v>1</v>
      </c>
      <c r="E3921" t="str">
        <f>"4574674200831360"</f>
        <v>4574674200831360</v>
      </c>
      <c r="F3921" t="str">
        <f>"529"</f>
        <v>529</v>
      </c>
      <c r="G3921">
        <v>1</v>
      </c>
      <c r="H3921">
        <v>2023</v>
      </c>
      <c r="I3921" t="s">
        <v>4036</v>
      </c>
    </row>
    <row r="3922" spans="1:9" x14ac:dyDescent="0.3">
      <c r="A3922" t="s">
        <v>10121</v>
      </c>
      <c r="B3922" t="s">
        <v>98</v>
      </c>
      <c r="C3922">
        <v>9406582649</v>
      </c>
      <c r="D3922" s="2">
        <v>1</v>
      </c>
      <c r="E3922" t="str">
        <f>"4574674200831378"</f>
        <v>4574674200831378</v>
      </c>
      <c r="F3922" t="str">
        <f>"566"</f>
        <v>566</v>
      </c>
      <c r="G3922">
        <v>1</v>
      </c>
      <c r="H3922">
        <v>2023</v>
      </c>
      <c r="I3922" t="s">
        <v>4037</v>
      </c>
    </row>
    <row r="3923" spans="1:9" x14ac:dyDescent="0.3">
      <c r="A3923" t="s">
        <v>10121</v>
      </c>
      <c r="B3923" t="s">
        <v>98</v>
      </c>
      <c r="C3923">
        <v>9406582649</v>
      </c>
      <c r="D3923" s="2">
        <v>1</v>
      </c>
      <c r="E3923" t="str">
        <f>"4574674200831394"</f>
        <v>4574674200831394</v>
      </c>
      <c r="F3923" t="str">
        <f>"769"</f>
        <v>769</v>
      </c>
      <c r="G3923">
        <v>1</v>
      </c>
      <c r="H3923">
        <v>2023</v>
      </c>
      <c r="I3923" t="s">
        <v>4038</v>
      </c>
    </row>
    <row r="3924" spans="1:9" x14ac:dyDescent="0.3">
      <c r="A3924" t="s">
        <v>10121</v>
      </c>
      <c r="B3924" t="s">
        <v>98</v>
      </c>
      <c r="C3924">
        <v>9406582649</v>
      </c>
      <c r="D3924" s="2">
        <v>1</v>
      </c>
      <c r="E3924" t="str">
        <f>"4574674200831691"</f>
        <v>4574674200831691</v>
      </c>
      <c r="F3924" t="str">
        <f>"493"</f>
        <v>493</v>
      </c>
      <c r="G3924">
        <v>1</v>
      </c>
      <c r="H3924">
        <v>2023</v>
      </c>
      <c r="I3924" t="s">
        <v>4039</v>
      </c>
    </row>
    <row r="3925" spans="1:9" x14ac:dyDescent="0.3">
      <c r="A3925" t="s">
        <v>10121</v>
      </c>
      <c r="B3925" t="s">
        <v>98</v>
      </c>
      <c r="C3925">
        <v>9406582649</v>
      </c>
      <c r="D3925" s="2">
        <v>1</v>
      </c>
      <c r="E3925" t="str">
        <f>"4574674200831709"</f>
        <v>4574674200831709</v>
      </c>
      <c r="F3925" t="str">
        <f>"959"</f>
        <v>959</v>
      </c>
      <c r="G3925">
        <v>1</v>
      </c>
      <c r="H3925">
        <v>2023</v>
      </c>
      <c r="I3925" t="s">
        <v>4040</v>
      </c>
    </row>
    <row r="3926" spans="1:9" x14ac:dyDescent="0.3">
      <c r="A3926" t="s">
        <v>10121</v>
      </c>
      <c r="B3926" t="s">
        <v>98</v>
      </c>
      <c r="C3926">
        <v>9406582649</v>
      </c>
      <c r="D3926" s="2">
        <v>1</v>
      </c>
      <c r="E3926" t="str">
        <f>"4574674200832004"</f>
        <v>4574674200832004</v>
      </c>
      <c r="F3926" t="str">
        <f>"391"</f>
        <v>391</v>
      </c>
      <c r="G3926">
        <v>1</v>
      </c>
      <c r="H3926">
        <v>2023</v>
      </c>
      <c r="I3926" t="s">
        <v>4041</v>
      </c>
    </row>
    <row r="3927" spans="1:9" x14ac:dyDescent="0.3">
      <c r="A3927" t="s">
        <v>10121</v>
      </c>
      <c r="B3927" t="s">
        <v>98</v>
      </c>
      <c r="C3927">
        <v>9406582649</v>
      </c>
      <c r="D3927" s="2">
        <v>1</v>
      </c>
      <c r="E3927" t="str">
        <f>"4574674200831873"</f>
        <v>4574674200831873</v>
      </c>
      <c r="F3927" t="str">
        <f>"054"</f>
        <v>054</v>
      </c>
      <c r="G3927">
        <v>1</v>
      </c>
      <c r="H3927">
        <v>2023</v>
      </c>
      <c r="I3927" t="s">
        <v>4042</v>
      </c>
    </row>
    <row r="3928" spans="1:9" x14ac:dyDescent="0.3">
      <c r="A3928" t="s">
        <v>10121</v>
      </c>
      <c r="B3928" t="s">
        <v>98</v>
      </c>
      <c r="C3928">
        <v>9406582649</v>
      </c>
      <c r="D3928" s="2">
        <v>1</v>
      </c>
      <c r="E3928" t="str">
        <f>"4574674200831881"</f>
        <v>4574674200831881</v>
      </c>
      <c r="F3928" t="str">
        <f>"005"</f>
        <v>005</v>
      </c>
      <c r="G3928">
        <v>1</v>
      </c>
      <c r="H3928">
        <v>2023</v>
      </c>
      <c r="I3928" t="s">
        <v>4043</v>
      </c>
    </row>
    <row r="3929" spans="1:9" x14ac:dyDescent="0.3">
      <c r="A3929" t="s">
        <v>10121</v>
      </c>
      <c r="B3929" t="s">
        <v>98</v>
      </c>
      <c r="C3929">
        <v>9406582649</v>
      </c>
      <c r="D3929" s="2">
        <v>1</v>
      </c>
      <c r="E3929" t="str">
        <f>"4574674200831865"</f>
        <v>4574674200831865</v>
      </c>
      <c r="F3929" t="str">
        <f>"112"</f>
        <v>112</v>
      </c>
      <c r="G3929">
        <v>1</v>
      </c>
      <c r="H3929">
        <v>2023</v>
      </c>
      <c r="I3929" t="s">
        <v>4044</v>
      </c>
    </row>
    <row r="3930" spans="1:9" x14ac:dyDescent="0.3">
      <c r="A3930" t="s">
        <v>10122</v>
      </c>
      <c r="B3930" t="s">
        <v>99</v>
      </c>
      <c r="C3930">
        <v>9406582649</v>
      </c>
      <c r="D3930" s="2">
        <v>1</v>
      </c>
      <c r="E3930" t="str">
        <f>"4574674200831907"</f>
        <v>4574674200831907</v>
      </c>
      <c r="F3930" t="str">
        <f>"875"</f>
        <v>875</v>
      </c>
      <c r="G3930">
        <v>1</v>
      </c>
      <c r="H3930">
        <v>2023</v>
      </c>
      <c r="I3930" t="s">
        <v>4045</v>
      </c>
    </row>
    <row r="3931" spans="1:9" x14ac:dyDescent="0.3">
      <c r="A3931" t="s">
        <v>10122</v>
      </c>
      <c r="B3931" t="s">
        <v>99</v>
      </c>
      <c r="C3931">
        <v>9406582649</v>
      </c>
      <c r="D3931" s="2">
        <v>1</v>
      </c>
      <c r="E3931" t="str">
        <f>"4574674200832053"</f>
        <v>4574674200832053</v>
      </c>
      <c r="F3931" t="str">
        <f>"478"</f>
        <v>478</v>
      </c>
      <c r="G3931">
        <v>1</v>
      </c>
      <c r="H3931">
        <v>2023</v>
      </c>
      <c r="I3931" t="s">
        <v>4046</v>
      </c>
    </row>
    <row r="3932" spans="1:9" x14ac:dyDescent="0.3">
      <c r="A3932" t="s">
        <v>10122</v>
      </c>
      <c r="B3932" t="s">
        <v>99</v>
      </c>
      <c r="C3932">
        <v>9406582649</v>
      </c>
      <c r="D3932" s="2">
        <v>1</v>
      </c>
      <c r="E3932" t="str">
        <f>"4574674200832079"</f>
        <v>4574674200832079</v>
      </c>
      <c r="F3932" t="str">
        <f>"857"</f>
        <v>857</v>
      </c>
      <c r="G3932">
        <v>1</v>
      </c>
      <c r="H3932">
        <v>2023</v>
      </c>
      <c r="I3932" t="s">
        <v>4047</v>
      </c>
    </row>
    <row r="3933" spans="1:9" x14ac:dyDescent="0.3">
      <c r="A3933" t="s">
        <v>10122</v>
      </c>
      <c r="B3933" t="s">
        <v>99</v>
      </c>
      <c r="C3933">
        <v>9406582649</v>
      </c>
      <c r="D3933" s="2">
        <v>1</v>
      </c>
      <c r="E3933" t="str">
        <f>"4574674200832160"</f>
        <v>4574674200832160</v>
      </c>
      <c r="F3933" t="str">
        <f>"686"</f>
        <v>686</v>
      </c>
      <c r="G3933">
        <v>1</v>
      </c>
      <c r="H3933">
        <v>2023</v>
      </c>
      <c r="I3933" t="s">
        <v>4048</v>
      </c>
    </row>
    <row r="3934" spans="1:9" x14ac:dyDescent="0.3">
      <c r="A3934" t="s">
        <v>10122</v>
      </c>
      <c r="B3934" t="s">
        <v>99</v>
      </c>
      <c r="C3934">
        <v>9406582649</v>
      </c>
      <c r="D3934" s="2">
        <v>1</v>
      </c>
      <c r="E3934" t="str">
        <f>"4574674200831980"</f>
        <v>4574674200831980</v>
      </c>
      <c r="F3934" t="str">
        <f>"020"</f>
        <v>020</v>
      </c>
      <c r="G3934">
        <v>1</v>
      </c>
      <c r="H3934">
        <v>2023</v>
      </c>
      <c r="I3934" t="s">
        <v>4049</v>
      </c>
    </row>
    <row r="3935" spans="1:9" x14ac:dyDescent="0.3">
      <c r="A3935" t="s">
        <v>10122</v>
      </c>
      <c r="B3935" t="s">
        <v>99</v>
      </c>
      <c r="C3935">
        <v>9406582649</v>
      </c>
      <c r="D3935" s="2">
        <v>1</v>
      </c>
      <c r="E3935" t="str">
        <f>"4574674200831998"</f>
        <v>4574674200831998</v>
      </c>
      <c r="F3935" t="str">
        <f>"736"</f>
        <v>736</v>
      </c>
      <c r="G3935">
        <v>1</v>
      </c>
      <c r="H3935">
        <v>2023</v>
      </c>
      <c r="I3935" t="s">
        <v>4050</v>
      </c>
    </row>
    <row r="3936" spans="1:9" x14ac:dyDescent="0.3">
      <c r="A3936" t="s">
        <v>10122</v>
      </c>
      <c r="B3936" t="s">
        <v>99</v>
      </c>
      <c r="C3936">
        <v>9406582649</v>
      </c>
      <c r="D3936" s="2">
        <v>1</v>
      </c>
      <c r="E3936" t="str">
        <f>"4574674200832434"</f>
        <v>4574674200832434</v>
      </c>
      <c r="F3936" t="str">
        <f>"012"</f>
        <v>012</v>
      </c>
      <c r="G3936">
        <v>1</v>
      </c>
      <c r="H3936">
        <v>2023</v>
      </c>
      <c r="I3936" t="s">
        <v>4051</v>
      </c>
    </row>
    <row r="3937" spans="1:9" x14ac:dyDescent="0.3">
      <c r="A3937" t="s">
        <v>10122</v>
      </c>
      <c r="B3937" t="s">
        <v>99</v>
      </c>
      <c r="C3937">
        <v>9406582649</v>
      </c>
      <c r="D3937" s="2">
        <v>1</v>
      </c>
      <c r="E3937" t="str">
        <f>"4574674200832426"</f>
        <v>4574674200832426</v>
      </c>
      <c r="F3937" t="str">
        <f>"098"</f>
        <v>098</v>
      </c>
      <c r="G3937">
        <v>1</v>
      </c>
      <c r="H3937">
        <v>2023</v>
      </c>
      <c r="I3937" t="s">
        <v>4052</v>
      </c>
    </row>
    <row r="3938" spans="1:9" x14ac:dyDescent="0.3">
      <c r="A3938" t="s">
        <v>10122</v>
      </c>
      <c r="B3938" t="s">
        <v>99</v>
      </c>
      <c r="C3938">
        <v>9406582649</v>
      </c>
      <c r="D3938" s="2">
        <v>1</v>
      </c>
      <c r="E3938" t="str">
        <f>"4574674200832210"</f>
        <v>4574674200832210</v>
      </c>
      <c r="F3938" t="str">
        <f>"604"</f>
        <v>604</v>
      </c>
      <c r="G3938">
        <v>1</v>
      </c>
      <c r="H3938">
        <v>2023</v>
      </c>
      <c r="I3938" t="s">
        <v>4053</v>
      </c>
    </row>
    <row r="3939" spans="1:9" x14ac:dyDescent="0.3">
      <c r="A3939" t="s">
        <v>10122</v>
      </c>
      <c r="B3939" t="s">
        <v>99</v>
      </c>
      <c r="C3939">
        <v>9406582649</v>
      </c>
      <c r="D3939" s="2">
        <v>1</v>
      </c>
      <c r="E3939" t="str">
        <f>"4574674200832236"</f>
        <v>4574674200832236</v>
      </c>
      <c r="F3939" t="str">
        <f>"851"</f>
        <v>851</v>
      </c>
      <c r="G3939">
        <v>1</v>
      </c>
      <c r="H3939">
        <v>2023</v>
      </c>
      <c r="I3939" t="s">
        <v>4054</v>
      </c>
    </row>
    <row r="3940" spans="1:9" x14ac:dyDescent="0.3">
      <c r="A3940" t="s">
        <v>10123</v>
      </c>
      <c r="B3940" t="s">
        <v>100</v>
      </c>
      <c r="C3940">
        <v>9406582649</v>
      </c>
      <c r="D3940" s="2">
        <v>1</v>
      </c>
      <c r="E3940" t="str">
        <f>"4574674200832541"</f>
        <v>4574674200832541</v>
      </c>
      <c r="F3940" t="str">
        <f>"438"</f>
        <v>438</v>
      </c>
      <c r="G3940">
        <v>1</v>
      </c>
      <c r="H3940">
        <v>2023</v>
      </c>
      <c r="I3940" t="s">
        <v>4055</v>
      </c>
    </row>
    <row r="3941" spans="1:9" x14ac:dyDescent="0.3">
      <c r="A3941" t="s">
        <v>10123</v>
      </c>
      <c r="B3941" t="s">
        <v>100</v>
      </c>
      <c r="C3941">
        <v>9406582649</v>
      </c>
      <c r="D3941" s="2">
        <v>1</v>
      </c>
      <c r="E3941" t="str">
        <f>"4574674200832566"</f>
        <v>4574674200832566</v>
      </c>
      <c r="F3941" t="str">
        <f>"773"</f>
        <v>773</v>
      </c>
      <c r="G3941">
        <v>1</v>
      </c>
      <c r="H3941">
        <v>2023</v>
      </c>
      <c r="I3941" t="s">
        <v>4056</v>
      </c>
    </row>
    <row r="3942" spans="1:9" x14ac:dyDescent="0.3">
      <c r="A3942" t="s">
        <v>10123</v>
      </c>
      <c r="B3942" t="s">
        <v>100</v>
      </c>
      <c r="C3942">
        <v>9406582649</v>
      </c>
      <c r="D3942" s="2">
        <v>1</v>
      </c>
      <c r="E3942" t="str">
        <f>"4574674200832608"</f>
        <v>4574674200832608</v>
      </c>
      <c r="F3942" t="str">
        <f>"071"</f>
        <v>071</v>
      </c>
      <c r="G3942">
        <v>1</v>
      </c>
      <c r="H3942">
        <v>2023</v>
      </c>
      <c r="I3942" t="s">
        <v>4057</v>
      </c>
    </row>
    <row r="3943" spans="1:9" x14ac:dyDescent="0.3">
      <c r="A3943" t="s">
        <v>10123</v>
      </c>
      <c r="B3943" t="s">
        <v>100</v>
      </c>
      <c r="C3943">
        <v>9406582649</v>
      </c>
      <c r="D3943" s="2">
        <v>1</v>
      </c>
      <c r="E3943" t="str">
        <f>"4574674200832301"</f>
        <v>4574674200832301</v>
      </c>
      <c r="F3943" t="str">
        <f>"830"</f>
        <v>830</v>
      </c>
      <c r="G3943">
        <v>1</v>
      </c>
      <c r="H3943">
        <v>2023</v>
      </c>
      <c r="I3943" t="s">
        <v>4058</v>
      </c>
    </row>
    <row r="3944" spans="1:9" x14ac:dyDescent="0.3">
      <c r="A3944" t="s">
        <v>10123</v>
      </c>
      <c r="B3944" t="s">
        <v>100</v>
      </c>
      <c r="C3944">
        <v>9406582649</v>
      </c>
      <c r="D3944" s="2">
        <v>1</v>
      </c>
      <c r="E3944" t="str">
        <f>"4574674200832277"</f>
        <v>4574674200832277</v>
      </c>
      <c r="F3944" t="str">
        <f>"961"</f>
        <v>961</v>
      </c>
      <c r="G3944">
        <v>1</v>
      </c>
      <c r="H3944">
        <v>2023</v>
      </c>
      <c r="I3944" t="s">
        <v>4059</v>
      </c>
    </row>
    <row r="3945" spans="1:9" x14ac:dyDescent="0.3">
      <c r="A3945" t="s">
        <v>10123</v>
      </c>
      <c r="B3945" t="s">
        <v>100</v>
      </c>
      <c r="C3945">
        <v>9406582649</v>
      </c>
      <c r="D3945" s="2">
        <v>1</v>
      </c>
      <c r="E3945" t="str">
        <f>"4574674200832707"</f>
        <v>4574674200832707</v>
      </c>
      <c r="F3945" t="str">
        <f>"058"</f>
        <v>058</v>
      </c>
      <c r="G3945">
        <v>1</v>
      </c>
      <c r="H3945">
        <v>2023</v>
      </c>
      <c r="I3945" t="s">
        <v>4060</v>
      </c>
    </row>
    <row r="3946" spans="1:9" x14ac:dyDescent="0.3">
      <c r="A3946" t="s">
        <v>10123</v>
      </c>
      <c r="B3946" t="s">
        <v>100</v>
      </c>
      <c r="C3946">
        <v>9406582649</v>
      </c>
      <c r="D3946" s="2">
        <v>1</v>
      </c>
      <c r="E3946" t="str">
        <f>"4574674200832723"</f>
        <v>4574674200832723</v>
      </c>
      <c r="F3946" t="str">
        <f>"017"</f>
        <v>017</v>
      </c>
      <c r="G3946">
        <v>1</v>
      </c>
      <c r="H3946">
        <v>2023</v>
      </c>
      <c r="I3946" t="s">
        <v>4061</v>
      </c>
    </row>
    <row r="3947" spans="1:9" x14ac:dyDescent="0.3">
      <c r="A3947" t="s">
        <v>10123</v>
      </c>
      <c r="B3947" t="s">
        <v>100</v>
      </c>
      <c r="C3947">
        <v>9406582649</v>
      </c>
      <c r="D3947" s="2">
        <v>1</v>
      </c>
      <c r="E3947" t="str">
        <f>"4574674200832335"</f>
        <v>4574674200832335</v>
      </c>
      <c r="F3947" t="str">
        <f>"511"</f>
        <v>511</v>
      </c>
      <c r="G3947">
        <v>1</v>
      </c>
      <c r="H3947">
        <v>2023</v>
      </c>
      <c r="I3947" t="s">
        <v>4062</v>
      </c>
    </row>
    <row r="3948" spans="1:9" x14ac:dyDescent="0.3">
      <c r="A3948" t="s">
        <v>10123</v>
      </c>
      <c r="B3948" t="s">
        <v>100</v>
      </c>
      <c r="C3948">
        <v>9406582649</v>
      </c>
      <c r="D3948" s="2">
        <v>1</v>
      </c>
      <c r="E3948" t="str">
        <f>"4574674200832772"</f>
        <v>4574674200832772</v>
      </c>
      <c r="F3948" t="str">
        <f>"965"</f>
        <v>965</v>
      </c>
      <c r="G3948">
        <v>1</v>
      </c>
      <c r="H3948">
        <v>2023</v>
      </c>
      <c r="I3948" t="s">
        <v>4063</v>
      </c>
    </row>
    <row r="3949" spans="1:9" x14ac:dyDescent="0.3">
      <c r="A3949" t="s">
        <v>10123</v>
      </c>
      <c r="B3949" t="s">
        <v>100</v>
      </c>
      <c r="C3949">
        <v>9406582649</v>
      </c>
      <c r="D3949" s="2">
        <v>1</v>
      </c>
      <c r="E3949" t="str">
        <f>"4574674200832368"</f>
        <v>4574674200832368</v>
      </c>
      <c r="F3949" t="str">
        <f>"847"</f>
        <v>847</v>
      </c>
      <c r="G3949">
        <v>1</v>
      </c>
      <c r="H3949">
        <v>2023</v>
      </c>
      <c r="I3949" t="s">
        <v>4064</v>
      </c>
    </row>
    <row r="3950" spans="1:9" x14ac:dyDescent="0.3">
      <c r="A3950" t="s">
        <v>10124</v>
      </c>
      <c r="B3950" t="s">
        <v>101</v>
      </c>
      <c r="C3950">
        <v>9406582649</v>
      </c>
      <c r="D3950" s="2">
        <v>1</v>
      </c>
      <c r="E3950" t="str">
        <f>"4574674200832871"</f>
        <v>4574674200832871</v>
      </c>
      <c r="F3950" t="str">
        <f>"875"</f>
        <v>875</v>
      </c>
      <c r="G3950">
        <v>1</v>
      </c>
      <c r="H3950">
        <v>2023</v>
      </c>
      <c r="I3950" t="s">
        <v>4065</v>
      </c>
    </row>
    <row r="3951" spans="1:9" x14ac:dyDescent="0.3">
      <c r="A3951" t="s">
        <v>10124</v>
      </c>
      <c r="B3951" t="s">
        <v>101</v>
      </c>
      <c r="C3951">
        <v>9406582649</v>
      </c>
      <c r="D3951" s="2">
        <v>1</v>
      </c>
      <c r="E3951" t="str">
        <f>"4574674200832913"</f>
        <v>4574674200832913</v>
      </c>
      <c r="F3951" t="str">
        <f>"952"</f>
        <v>952</v>
      </c>
      <c r="G3951">
        <v>1</v>
      </c>
      <c r="H3951">
        <v>2023</v>
      </c>
      <c r="I3951" t="s">
        <v>4066</v>
      </c>
    </row>
    <row r="3952" spans="1:9" x14ac:dyDescent="0.3">
      <c r="A3952" t="s">
        <v>10124</v>
      </c>
      <c r="B3952" t="s">
        <v>101</v>
      </c>
      <c r="C3952">
        <v>9406582649</v>
      </c>
      <c r="D3952" s="2">
        <v>1</v>
      </c>
      <c r="E3952" t="str">
        <f>"4574674200832921"</f>
        <v>4574674200832921</v>
      </c>
      <c r="F3952" t="str">
        <f>"116"</f>
        <v>116</v>
      </c>
      <c r="G3952">
        <v>1</v>
      </c>
      <c r="H3952">
        <v>2023</v>
      </c>
      <c r="I3952" t="s">
        <v>4067</v>
      </c>
    </row>
    <row r="3953" spans="1:9" x14ac:dyDescent="0.3">
      <c r="A3953" t="s">
        <v>10124</v>
      </c>
      <c r="B3953" t="s">
        <v>101</v>
      </c>
      <c r="C3953">
        <v>9406582649</v>
      </c>
      <c r="D3953" s="2">
        <v>1</v>
      </c>
      <c r="E3953" t="str">
        <f>"4574674200833200"</f>
        <v>4574674200833200</v>
      </c>
      <c r="F3953" t="str">
        <f>"044"</f>
        <v>044</v>
      </c>
      <c r="G3953">
        <v>1</v>
      </c>
      <c r="H3953">
        <v>2023</v>
      </c>
      <c r="I3953" t="s">
        <v>4068</v>
      </c>
    </row>
    <row r="3954" spans="1:9" x14ac:dyDescent="0.3">
      <c r="A3954" t="s">
        <v>10124</v>
      </c>
      <c r="B3954" t="s">
        <v>101</v>
      </c>
      <c r="C3954">
        <v>9406582649</v>
      </c>
      <c r="D3954" s="2">
        <v>1</v>
      </c>
      <c r="E3954" t="str">
        <f>"4574674200833242"</f>
        <v>4574674200833242</v>
      </c>
      <c r="F3954" t="str">
        <f>"585"</f>
        <v>585</v>
      </c>
      <c r="G3954">
        <v>1</v>
      </c>
      <c r="H3954">
        <v>2023</v>
      </c>
      <c r="I3954" t="s">
        <v>4069</v>
      </c>
    </row>
    <row r="3955" spans="1:9" x14ac:dyDescent="0.3">
      <c r="A3955" t="s">
        <v>10124</v>
      </c>
      <c r="B3955" t="s">
        <v>101</v>
      </c>
      <c r="C3955">
        <v>9406582649</v>
      </c>
      <c r="D3955" s="2">
        <v>1</v>
      </c>
      <c r="E3955" t="str">
        <f>"4574674200833234"</f>
        <v>4574674200833234</v>
      </c>
      <c r="F3955" t="str">
        <f>"075"</f>
        <v>075</v>
      </c>
      <c r="G3955">
        <v>1</v>
      </c>
      <c r="H3955">
        <v>2023</v>
      </c>
      <c r="I3955" t="s">
        <v>4070</v>
      </c>
    </row>
    <row r="3956" spans="1:9" x14ac:dyDescent="0.3">
      <c r="A3956" t="s">
        <v>10124</v>
      </c>
      <c r="B3956" t="s">
        <v>101</v>
      </c>
      <c r="C3956">
        <v>9406582649</v>
      </c>
      <c r="D3956" s="2">
        <v>1</v>
      </c>
      <c r="E3956" t="str">
        <f>"4574674200833374"</f>
        <v>4574674200833374</v>
      </c>
      <c r="F3956" t="str">
        <f>"204"</f>
        <v>204</v>
      </c>
      <c r="G3956">
        <v>1</v>
      </c>
      <c r="H3956">
        <v>2023</v>
      </c>
      <c r="I3956" t="s">
        <v>4071</v>
      </c>
    </row>
    <row r="3957" spans="1:9" x14ac:dyDescent="0.3">
      <c r="A3957" t="s">
        <v>10124</v>
      </c>
      <c r="B3957" t="s">
        <v>101</v>
      </c>
      <c r="C3957">
        <v>9406582649</v>
      </c>
      <c r="D3957" s="2">
        <v>1</v>
      </c>
      <c r="E3957" t="str">
        <f>"4574674200833101"</f>
        <v>4574674200833101</v>
      </c>
      <c r="F3957" t="str">
        <f>"209"</f>
        <v>209</v>
      </c>
      <c r="G3957">
        <v>1</v>
      </c>
      <c r="H3957">
        <v>2023</v>
      </c>
      <c r="I3957" t="s">
        <v>4072</v>
      </c>
    </row>
    <row r="3958" spans="1:9" x14ac:dyDescent="0.3">
      <c r="A3958" t="s">
        <v>10124</v>
      </c>
      <c r="B3958" t="s">
        <v>101</v>
      </c>
      <c r="C3958">
        <v>9406582649</v>
      </c>
      <c r="D3958" s="2">
        <v>1</v>
      </c>
      <c r="E3958" t="str">
        <f>"4574674200833416"</f>
        <v>4574674200833416</v>
      </c>
      <c r="F3958" t="str">
        <f>"373"</f>
        <v>373</v>
      </c>
      <c r="G3958">
        <v>1</v>
      </c>
      <c r="H3958">
        <v>2023</v>
      </c>
      <c r="I3958" t="s">
        <v>4073</v>
      </c>
    </row>
    <row r="3959" spans="1:9" x14ac:dyDescent="0.3">
      <c r="A3959" t="s">
        <v>10124</v>
      </c>
      <c r="B3959" t="s">
        <v>101</v>
      </c>
      <c r="C3959">
        <v>9406582649</v>
      </c>
      <c r="D3959" s="2">
        <v>1</v>
      </c>
      <c r="E3959" t="str">
        <f>"4574674200833424"</f>
        <v>4574674200833424</v>
      </c>
      <c r="F3959" t="str">
        <f>"788"</f>
        <v>788</v>
      </c>
      <c r="G3959">
        <v>1</v>
      </c>
      <c r="H3959">
        <v>2023</v>
      </c>
      <c r="I3959" t="s">
        <v>4074</v>
      </c>
    </row>
    <row r="3960" spans="1:9" x14ac:dyDescent="0.3">
      <c r="A3960" t="s">
        <v>10125</v>
      </c>
      <c r="B3960" t="s">
        <v>102</v>
      </c>
      <c r="C3960">
        <v>9406582649</v>
      </c>
      <c r="D3960" s="2">
        <v>1</v>
      </c>
      <c r="E3960" t="str">
        <f>"4574674200833176"</f>
        <v>4574674200833176</v>
      </c>
      <c r="F3960" t="str">
        <f>"787"</f>
        <v>787</v>
      </c>
      <c r="G3960">
        <v>1</v>
      </c>
      <c r="H3960">
        <v>2023</v>
      </c>
      <c r="I3960" t="s">
        <v>4075</v>
      </c>
    </row>
    <row r="3961" spans="1:9" x14ac:dyDescent="0.3">
      <c r="A3961" t="s">
        <v>10125</v>
      </c>
      <c r="B3961" t="s">
        <v>102</v>
      </c>
      <c r="C3961">
        <v>9406582649</v>
      </c>
      <c r="D3961" s="2">
        <v>1</v>
      </c>
      <c r="E3961" t="str">
        <f>"4574674200833184"</f>
        <v>4574674200833184</v>
      </c>
      <c r="F3961" t="str">
        <f>"238"</f>
        <v>238</v>
      </c>
      <c r="G3961">
        <v>1</v>
      </c>
      <c r="H3961">
        <v>2023</v>
      </c>
      <c r="I3961" t="s">
        <v>4076</v>
      </c>
    </row>
    <row r="3962" spans="1:9" x14ac:dyDescent="0.3">
      <c r="A3962" t="s">
        <v>10125</v>
      </c>
      <c r="B3962" t="s">
        <v>102</v>
      </c>
      <c r="C3962">
        <v>9406582649</v>
      </c>
      <c r="D3962" s="2">
        <v>1</v>
      </c>
      <c r="E3962" t="str">
        <f>"4574674200833606"</f>
        <v>4574674200833606</v>
      </c>
      <c r="F3962" t="str">
        <f>"440"</f>
        <v>440</v>
      </c>
      <c r="G3962">
        <v>1</v>
      </c>
      <c r="H3962">
        <v>2023</v>
      </c>
      <c r="I3962" t="s">
        <v>4077</v>
      </c>
    </row>
    <row r="3963" spans="1:9" x14ac:dyDescent="0.3">
      <c r="A3963" t="s">
        <v>10125</v>
      </c>
      <c r="B3963" t="s">
        <v>102</v>
      </c>
      <c r="C3963">
        <v>9406582649</v>
      </c>
      <c r="D3963" s="2">
        <v>1</v>
      </c>
      <c r="E3963" t="str">
        <f>"4574674200833515"</f>
        <v>4574674200833515</v>
      </c>
      <c r="F3963" t="str">
        <f>"131"</f>
        <v>131</v>
      </c>
      <c r="G3963">
        <v>1</v>
      </c>
      <c r="H3963">
        <v>2023</v>
      </c>
      <c r="I3963" t="s">
        <v>4078</v>
      </c>
    </row>
    <row r="3964" spans="1:9" x14ac:dyDescent="0.3">
      <c r="A3964" t="s">
        <v>10125</v>
      </c>
      <c r="B3964" t="s">
        <v>102</v>
      </c>
      <c r="C3964">
        <v>9406582649</v>
      </c>
      <c r="D3964" s="2">
        <v>1</v>
      </c>
      <c r="E3964" t="str">
        <f>"4574674200833598"</f>
        <v>4574674200833598</v>
      </c>
      <c r="F3964" t="str">
        <f>"987"</f>
        <v>987</v>
      </c>
      <c r="G3964">
        <v>1</v>
      </c>
      <c r="H3964">
        <v>2023</v>
      </c>
      <c r="I3964" t="s">
        <v>4079</v>
      </c>
    </row>
    <row r="3965" spans="1:9" x14ac:dyDescent="0.3">
      <c r="A3965" t="s">
        <v>10125</v>
      </c>
      <c r="B3965" t="s">
        <v>102</v>
      </c>
      <c r="C3965">
        <v>9406582649</v>
      </c>
      <c r="D3965" s="2">
        <v>1</v>
      </c>
      <c r="E3965" t="str">
        <f>"4574674200833580"</f>
        <v>4574674200833580</v>
      </c>
      <c r="F3965" t="str">
        <f>"688"</f>
        <v>688</v>
      </c>
      <c r="G3965">
        <v>1</v>
      </c>
      <c r="H3965">
        <v>2023</v>
      </c>
      <c r="I3965" t="s">
        <v>4080</v>
      </c>
    </row>
    <row r="3966" spans="1:9" x14ac:dyDescent="0.3">
      <c r="A3966" t="s">
        <v>10125</v>
      </c>
      <c r="B3966" t="s">
        <v>102</v>
      </c>
      <c r="C3966">
        <v>9406582649</v>
      </c>
      <c r="D3966" s="2">
        <v>1</v>
      </c>
      <c r="E3966" t="str">
        <f>"4574674200833630"</f>
        <v>4574674200833630</v>
      </c>
      <c r="F3966" t="str">
        <f>"052"</f>
        <v>052</v>
      </c>
      <c r="G3966">
        <v>1</v>
      </c>
      <c r="H3966">
        <v>2023</v>
      </c>
      <c r="I3966" t="s">
        <v>4081</v>
      </c>
    </row>
    <row r="3967" spans="1:9" x14ac:dyDescent="0.3">
      <c r="A3967" t="s">
        <v>10125</v>
      </c>
      <c r="B3967" t="s">
        <v>102</v>
      </c>
      <c r="C3967">
        <v>9406582649</v>
      </c>
      <c r="D3967" s="2">
        <v>1</v>
      </c>
      <c r="E3967" t="str">
        <f>"4574674200833663"</f>
        <v>4574674200833663</v>
      </c>
      <c r="F3967" t="str">
        <f>"321"</f>
        <v>321</v>
      </c>
      <c r="G3967">
        <v>1</v>
      </c>
      <c r="H3967">
        <v>2023</v>
      </c>
      <c r="I3967" t="s">
        <v>4082</v>
      </c>
    </row>
    <row r="3968" spans="1:9" x14ac:dyDescent="0.3">
      <c r="A3968" t="s">
        <v>10125</v>
      </c>
      <c r="B3968" t="s">
        <v>102</v>
      </c>
      <c r="C3968">
        <v>9406582649</v>
      </c>
      <c r="D3968" s="2">
        <v>1</v>
      </c>
      <c r="E3968" t="str">
        <f>"4574674200833887"</f>
        <v>4574674200833887</v>
      </c>
      <c r="F3968" t="str">
        <f>"886"</f>
        <v>886</v>
      </c>
      <c r="G3968">
        <v>1</v>
      </c>
      <c r="H3968">
        <v>2023</v>
      </c>
      <c r="I3968" t="s">
        <v>4083</v>
      </c>
    </row>
    <row r="3969" spans="1:9" x14ac:dyDescent="0.3">
      <c r="A3969" t="s">
        <v>10125</v>
      </c>
      <c r="B3969" t="s">
        <v>102</v>
      </c>
      <c r="C3969">
        <v>9406582649</v>
      </c>
      <c r="D3969" s="2">
        <v>1</v>
      </c>
      <c r="E3969" t="str">
        <f>"4574674200833705"</f>
        <v>4574674200833705</v>
      </c>
      <c r="F3969" t="str">
        <f>"982"</f>
        <v>982</v>
      </c>
      <c r="G3969">
        <v>1</v>
      </c>
      <c r="H3969">
        <v>2023</v>
      </c>
      <c r="I3969" t="s">
        <v>4084</v>
      </c>
    </row>
    <row r="3970" spans="1:9" x14ac:dyDescent="0.3">
      <c r="A3970" t="s">
        <v>10126</v>
      </c>
      <c r="B3970" t="s">
        <v>103</v>
      </c>
      <c r="C3970">
        <v>9406582649</v>
      </c>
      <c r="D3970" s="2">
        <v>1</v>
      </c>
      <c r="E3970" t="str">
        <f>"4574674200833945"</f>
        <v>4574674200833945</v>
      </c>
      <c r="F3970" t="str">
        <f>"324"</f>
        <v>324</v>
      </c>
      <c r="G3970">
        <v>1</v>
      </c>
      <c r="H3970">
        <v>2023</v>
      </c>
      <c r="I3970" t="s">
        <v>4085</v>
      </c>
    </row>
    <row r="3971" spans="1:9" x14ac:dyDescent="0.3">
      <c r="A3971" t="s">
        <v>10126</v>
      </c>
      <c r="B3971" t="s">
        <v>103</v>
      </c>
      <c r="C3971">
        <v>9406582649</v>
      </c>
      <c r="D3971" s="2">
        <v>1</v>
      </c>
      <c r="E3971" t="str">
        <f>"4574674200833952"</f>
        <v>4574674200833952</v>
      </c>
      <c r="F3971" t="str">
        <f>"825"</f>
        <v>825</v>
      </c>
      <c r="G3971">
        <v>1</v>
      </c>
      <c r="H3971">
        <v>2023</v>
      </c>
      <c r="I3971" t="s">
        <v>4086</v>
      </c>
    </row>
    <row r="3972" spans="1:9" x14ac:dyDescent="0.3">
      <c r="A3972" t="s">
        <v>10126</v>
      </c>
      <c r="B3972" t="s">
        <v>103</v>
      </c>
      <c r="C3972">
        <v>9406582649</v>
      </c>
      <c r="D3972" s="2">
        <v>1</v>
      </c>
      <c r="E3972" t="str">
        <f>"4574674200833721"</f>
        <v>4574674200833721</v>
      </c>
      <c r="F3972" t="str">
        <f>"718"</f>
        <v>718</v>
      </c>
      <c r="G3972">
        <v>1</v>
      </c>
      <c r="H3972">
        <v>2023</v>
      </c>
      <c r="I3972" t="s">
        <v>4087</v>
      </c>
    </row>
    <row r="3973" spans="1:9" x14ac:dyDescent="0.3">
      <c r="A3973" t="s">
        <v>10126</v>
      </c>
      <c r="B3973" t="s">
        <v>103</v>
      </c>
      <c r="C3973">
        <v>9406582649</v>
      </c>
      <c r="D3973" s="2">
        <v>1</v>
      </c>
      <c r="E3973" t="str">
        <f>"4574674200833754"</f>
        <v>4574674200833754</v>
      </c>
      <c r="F3973" t="str">
        <f>"219"</f>
        <v>219</v>
      </c>
      <c r="G3973">
        <v>1</v>
      </c>
      <c r="H3973">
        <v>2023</v>
      </c>
      <c r="I3973" t="s">
        <v>4088</v>
      </c>
    </row>
    <row r="3974" spans="1:9" x14ac:dyDescent="0.3">
      <c r="A3974" t="s">
        <v>10126</v>
      </c>
      <c r="B3974" t="s">
        <v>103</v>
      </c>
      <c r="C3974">
        <v>9406582649</v>
      </c>
      <c r="D3974" s="2">
        <v>1</v>
      </c>
      <c r="E3974" t="str">
        <f>"4574674200834042"</f>
        <v>4574674200834042</v>
      </c>
      <c r="F3974" t="str">
        <f>"800"</f>
        <v>800</v>
      </c>
      <c r="G3974">
        <v>1</v>
      </c>
      <c r="H3974">
        <v>2023</v>
      </c>
      <c r="I3974" t="s">
        <v>4089</v>
      </c>
    </row>
    <row r="3975" spans="1:9" x14ac:dyDescent="0.3">
      <c r="A3975" t="s">
        <v>10126</v>
      </c>
      <c r="B3975" t="s">
        <v>103</v>
      </c>
      <c r="C3975">
        <v>9406582649</v>
      </c>
      <c r="D3975" s="2">
        <v>1</v>
      </c>
      <c r="E3975" t="str">
        <f>"4574674200834208"</f>
        <v>4574674200834208</v>
      </c>
      <c r="F3975" t="str">
        <f>"011"</f>
        <v>011</v>
      </c>
      <c r="G3975">
        <v>1</v>
      </c>
      <c r="H3975">
        <v>2023</v>
      </c>
      <c r="I3975" t="s">
        <v>4090</v>
      </c>
    </row>
    <row r="3976" spans="1:9" x14ac:dyDescent="0.3">
      <c r="A3976" t="s">
        <v>10126</v>
      </c>
      <c r="B3976" t="s">
        <v>103</v>
      </c>
      <c r="C3976">
        <v>9406582649</v>
      </c>
      <c r="D3976" s="2">
        <v>1</v>
      </c>
      <c r="E3976" t="str">
        <f>"4574674200834075"</f>
        <v>4574674200834075</v>
      </c>
      <c r="F3976" t="str">
        <f>"691"</f>
        <v>691</v>
      </c>
      <c r="G3976">
        <v>1</v>
      </c>
      <c r="H3976">
        <v>2023</v>
      </c>
      <c r="I3976" t="s">
        <v>4091</v>
      </c>
    </row>
    <row r="3977" spans="1:9" x14ac:dyDescent="0.3">
      <c r="A3977" t="s">
        <v>10126</v>
      </c>
      <c r="B3977" t="s">
        <v>103</v>
      </c>
      <c r="C3977">
        <v>9406582649</v>
      </c>
      <c r="D3977" s="2">
        <v>1</v>
      </c>
      <c r="E3977" t="str">
        <f>"4574674200834117"</f>
        <v>4574674200834117</v>
      </c>
      <c r="F3977" t="str">
        <f>"374"</f>
        <v>374</v>
      </c>
      <c r="G3977">
        <v>1</v>
      </c>
      <c r="H3977">
        <v>2023</v>
      </c>
      <c r="I3977" t="s">
        <v>4092</v>
      </c>
    </row>
    <row r="3978" spans="1:9" x14ac:dyDescent="0.3">
      <c r="A3978" t="s">
        <v>10126</v>
      </c>
      <c r="B3978" t="s">
        <v>103</v>
      </c>
      <c r="C3978">
        <v>9406582649</v>
      </c>
      <c r="D3978" s="2">
        <v>1</v>
      </c>
      <c r="E3978" t="str">
        <f>"4574674200834232"</f>
        <v>4574674200834232</v>
      </c>
      <c r="F3978" t="str">
        <f>"052"</f>
        <v>052</v>
      </c>
      <c r="G3978">
        <v>1</v>
      </c>
      <c r="H3978">
        <v>2023</v>
      </c>
      <c r="I3978" t="s">
        <v>4093</v>
      </c>
    </row>
    <row r="3979" spans="1:9" x14ac:dyDescent="0.3">
      <c r="A3979" t="s">
        <v>10126</v>
      </c>
      <c r="B3979" t="s">
        <v>103</v>
      </c>
      <c r="C3979">
        <v>9406582649</v>
      </c>
      <c r="D3979" s="2">
        <v>1</v>
      </c>
      <c r="E3979" t="str">
        <f>"4574674200834240"</f>
        <v>4574674200834240</v>
      </c>
      <c r="F3979" t="str">
        <f>"792"</f>
        <v>792</v>
      </c>
      <c r="G3979">
        <v>1</v>
      </c>
      <c r="H3979">
        <v>2023</v>
      </c>
      <c r="I3979" t="s">
        <v>4094</v>
      </c>
    </row>
    <row r="3980" spans="1:9" x14ac:dyDescent="0.3">
      <c r="A3980" t="s">
        <v>10127</v>
      </c>
      <c r="B3980" t="s">
        <v>104</v>
      </c>
      <c r="C3980">
        <v>9406582649</v>
      </c>
      <c r="D3980" s="2">
        <v>1</v>
      </c>
      <c r="E3980" t="str">
        <f>"4574674200834406"</f>
        <v>4574674200834406</v>
      </c>
      <c r="F3980" t="str">
        <f>"603"</f>
        <v>603</v>
      </c>
      <c r="G3980">
        <v>1</v>
      </c>
      <c r="H3980">
        <v>2023</v>
      </c>
      <c r="I3980" t="s">
        <v>4095</v>
      </c>
    </row>
    <row r="3981" spans="1:9" x14ac:dyDescent="0.3">
      <c r="A3981" t="s">
        <v>10127</v>
      </c>
      <c r="B3981" t="s">
        <v>104</v>
      </c>
      <c r="C3981">
        <v>9406582649</v>
      </c>
      <c r="D3981" s="2">
        <v>1</v>
      </c>
      <c r="E3981" t="str">
        <f>"4574674200834281"</f>
        <v>4574674200834281</v>
      </c>
      <c r="F3981" t="str">
        <f>"597"</f>
        <v>597</v>
      </c>
      <c r="G3981">
        <v>1</v>
      </c>
      <c r="H3981">
        <v>2023</v>
      </c>
      <c r="I3981" t="s">
        <v>4096</v>
      </c>
    </row>
    <row r="3982" spans="1:9" x14ac:dyDescent="0.3">
      <c r="A3982" t="s">
        <v>10127</v>
      </c>
      <c r="B3982" t="s">
        <v>104</v>
      </c>
      <c r="C3982">
        <v>9406582649</v>
      </c>
      <c r="D3982" s="2">
        <v>1</v>
      </c>
      <c r="E3982" t="str">
        <f>"4574674200834471"</f>
        <v>4574674200834471</v>
      </c>
      <c r="F3982" t="str">
        <f>"172"</f>
        <v>172</v>
      </c>
      <c r="G3982">
        <v>1</v>
      </c>
      <c r="H3982">
        <v>2023</v>
      </c>
      <c r="I3982" t="s">
        <v>4097</v>
      </c>
    </row>
    <row r="3983" spans="1:9" x14ac:dyDescent="0.3">
      <c r="A3983" t="s">
        <v>10127</v>
      </c>
      <c r="B3983" t="s">
        <v>104</v>
      </c>
      <c r="C3983">
        <v>9406582649</v>
      </c>
      <c r="D3983" s="2">
        <v>1</v>
      </c>
      <c r="E3983" t="str">
        <f>"4574674200834513"</f>
        <v>4574674200834513</v>
      </c>
      <c r="F3983" t="str">
        <f>"999"</f>
        <v>999</v>
      </c>
      <c r="G3983">
        <v>1</v>
      </c>
      <c r="H3983">
        <v>2023</v>
      </c>
      <c r="I3983" t="s">
        <v>4098</v>
      </c>
    </row>
    <row r="3984" spans="1:9" x14ac:dyDescent="0.3">
      <c r="A3984" t="s">
        <v>10127</v>
      </c>
      <c r="B3984" t="s">
        <v>104</v>
      </c>
      <c r="C3984">
        <v>9406582649</v>
      </c>
      <c r="D3984" s="2">
        <v>1</v>
      </c>
      <c r="E3984" t="str">
        <f>"4574674200834307"</f>
        <v>4574674200834307</v>
      </c>
      <c r="F3984" t="str">
        <f>"676"</f>
        <v>676</v>
      </c>
      <c r="G3984">
        <v>1</v>
      </c>
      <c r="H3984">
        <v>2023</v>
      </c>
      <c r="I3984" t="s">
        <v>4099</v>
      </c>
    </row>
    <row r="3985" spans="1:9" x14ac:dyDescent="0.3">
      <c r="A3985" t="s">
        <v>10127</v>
      </c>
      <c r="B3985" t="s">
        <v>104</v>
      </c>
      <c r="C3985">
        <v>9406582649</v>
      </c>
      <c r="D3985" s="2">
        <v>1</v>
      </c>
      <c r="E3985" t="str">
        <f>"4574674200834349"</f>
        <v>4574674200834349</v>
      </c>
      <c r="F3985" t="str">
        <f>"075"</f>
        <v>075</v>
      </c>
      <c r="G3985">
        <v>1</v>
      </c>
      <c r="H3985">
        <v>2023</v>
      </c>
      <c r="I3985" t="s">
        <v>4100</v>
      </c>
    </row>
    <row r="3986" spans="1:9" x14ac:dyDescent="0.3">
      <c r="A3986" t="s">
        <v>10127</v>
      </c>
      <c r="B3986" t="s">
        <v>104</v>
      </c>
      <c r="C3986">
        <v>9406582649</v>
      </c>
      <c r="D3986" s="2">
        <v>1</v>
      </c>
      <c r="E3986" t="str">
        <f>"4574674200834323"</f>
        <v>4574674200834323</v>
      </c>
      <c r="F3986" t="str">
        <f>"318"</f>
        <v>318</v>
      </c>
      <c r="G3986">
        <v>1</v>
      </c>
      <c r="H3986">
        <v>2023</v>
      </c>
      <c r="I3986" t="s">
        <v>4101</v>
      </c>
    </row>
    <row r="3987" spans="1:9" x14ac:dyDescent="0.3">
      <c r="A3987" t="s">
        <v>10127</v>
      </c>
      <c r="B3987" t="s">
        <v>104</v>
      </c>
      <c r="C3987">
        <v>9406582649</v>
      </c>
      <c r="D3987" s="2">
        <v>1</v>
      </c>
      <c r="E3987" t="str">
        <f>"4574674200834364"</f>
        <v>4574674200834364</v>
      </c>
      <c r="F3987" t="str">
        <f>"662"</f>
        <v>662</v>
      </c>
      <c r="G3987">
        <v>1</v>
      </c>
      <c r="H3987">
        <v>2023</v>
      </c>
      <c r="I3987" t="s">
        <v>4102</v>
      </c>
    </row>
    <row r="3988" spans="1:9" x14ac:dyDescent="0.3">
      <c r="A3988" t="s">
        <v>10127</v>
      </c>
      <c r="B3988" t="s">
        <v>104</v>
      </c>
      <c r="C3988">
        <v>9406582649</v>
      </c>
      <c r="D3988" s="2">
        <v>1</v>
      </c>
      <c r="E3988" t="str">
        <f>"4574674200834646"</f>
        <v>4574674200834646</v>
      </c>
      <c r="F3988" t="str">
        <f>"867"</f>
        <v>867</v>
      </c>
      <c r="G3988">
        <v>1</v>
      </c>
      <c r="H3988">
        <v>2023</v>
      </c>
      <c r="I3988" t="s">
        <v>4103</v>
      </c>
    </row>
    <row r="3989" spans="1:9" x14ac:dyDescent="0.3">
      <c r="A3989" t="s">
        <v>10127</v>
      </c>
      <c r="B3989" t="s">
        <v>104</v>
      </c>
      <c r="C3989">
        <v>9406582649</v>
      </c>
      <c r="D3989" s="2">
        <v>1</v>
      </c>
      <c r="E3989" t="str">
        <f>"4574674200834372"</f>
        <v>4574674200834372</v>
      </c>
      <c r="F3989" t="str">
        <f>"179"</f>
        <v>179</v>
      </c>
      <c r="G3989">
        <v>1</v>
      </c>
      <c r="H3989">
        <v>2023</v>
      </c>
      <c r="I3989" t="s">
        <v>4104</v>
      </c>
    </row>
    <row r="3990" spans="1:9" x14ac:dyDescent="0.3">
      <c r="A3990" t="s">
        <v>10128</v>
      </c>
      <c r="B3990" t="s">
        <v>105</v>
      </c>
      <c r="C3990">
        <v>9406582649</v>
      </c>
      <c r="D3990" s="2">
        <v>1</v>
      </c>
      <c r="E3990" t="str">
        <f>"4574674200834679"</f>
        <v>4574674200834679</v>
      </c>
      <c r="F3990" t="str">
        <f>"769"</f>
        <v>769</v>
      </c>
      <c r="G3990">
        <v>1</v>
      </c>
      <c r="H3990">
        <v>2023</v>
      </c>
      <c r="I3990" t="s">
        <v>4105</v>
      </c>
    </row>
    <row r="3991" spans="1:9" x14ac:dyDescent="0.3">
      <c r="A3991" t="s">
        <v>10128</v>
      </c>
      <c r="B3991" t="s">
        <v>105</v>
      </c>
      <c r="C3991">
        <v>9406582649</v>
      </c>
      <c r="D3991" s="2">
        <v>1</v>
      </c>
      <c r="E3991" t="str">
        <f>"4574674200834810"</f>
        <v>4574674200834810</v>
      </c>
      <c r="F3991" t="str">
        <f>"742"</f>
        <v>742</v>
      </c>
      <c r="G3991">
        <v>1</v>
      </c>
      <c r="H3991">
        <v>2023</v>
      </c>
      <c r="I3991" t="s">
        <v>4106</v>
      </c>
    </row>
    <row r="3992" spans="1:9" x14ac:dyDescent="0.3">
      <c r="A3992" t="s">
        <v>10128</v>
      </c>
      <c r="B3992" t="s">
        <v>105</v>
      </c>
      <c r="C3992">
        <v>9406582649</v>
      </c>
      <c r="D3992" s="2">
        <v>1</v>
      </c>
      <c r="E3992" t="str">
        <f>"4574674200834745"</f>
        <v>4574674200834745</v>
      </c>
      <c r="F3992" t="str">
        <f>"447"</f>
        <v>447</v>
      </c>
      <c r="G3992">
        <v>1</v>
      </c>
      <c r="H3992">
        <v>2023</v>
      </c>
      <c r="I3992" t="s">
        <v>4107</v>
      </c>
    </row>
    <row r="3993" spans="1:9" x14ac:dyDescent="0.3">
      <c r="A3993" t="s">
        <v>10128</v>
      </c>
      <c r="B3993" t="s">
        <v>105</v>
      </c>
      <c r="C3993">
        <v>9406582649</v>
      </c>
      <c r="D3993" s="2">
        <v>1</v>
      </c>
      <c r="E3993" t="str">
        <f>"4574674200834844"</f>
        <v>4574674200834844</v>
      </c>
      <c r="F3993" t="str">
        <f>"297"</f>
        <v>297</v>
      </c>
      <c r="G3993">
        <v>1</v>
      </c>
      <c r="H3993">
        <v>2023</v>
      </c>
      <c r="I3993" t="s">
        <v>4108</v>
      </c>
    </row>
    <row r="3994" spans="1:9" x14ac:dyDescent="0.3">
      <c r="A3994" t="s">
        <v>10128</v>
      </c>
      <c r="B3994" t="s">
        <v>105</v>
      </c>
      <c r="C3994">
        <v>9406582649</v>
      </c>
      <c r="D3994" s="2">
        <v>1</v>
      </c>
      <c r="E3994" t="str">
        <f>"4574674200834851"</f>
        <v>4574674200834851</v>
      </c>
      <c r="F3994" t="str">
        <f>"536"</f>
        <v>536</v>
      </c>
      <c r="G3994">
        <v>1</v>
      </c>
      <c r="H3994">
        <v>2023</v>
      </c>
      <c r="I3994" t="s">
        <v>4109</v>
      </c>
    </row>
    <row r="3995" spans="1:9" x14ac:dyDescent="0.3">
      <c r="A3995" t="s">
        <v>10128</v>
      </c>
      <c r="B3995" t="s">
        <v>105</v>
      </c>
      <c r="C3995">
        <v>9406582649</v>
      </c>
      <c r="D3995" s="2">
        <v>1</v>
      </c>
      <c r="E3995" t="str">
        <f>"4574674200834869"</f>
        <v>4574674200834869</v>
      </c>
      <c r="F3995" t="str">
        <f>"966"</f>
        <v>966</v>
      </c>
      <c r="G3995">
        <v>1</v>
      </c>
      <c r="H3995">
        <v>2023</v>
      </c>
      <c r="I3995" t="s">
        <v>4110</v>
      </c>
    </row>
    <row r="3996" spans="1:9" x14ac:dyDescent="0.3">
      <c r="A3996" t="s">
        <v>10128</v>
      </c>
      <c r="B3996" t="s">
        <v>105</v>
      </c>
      <c r="C3996">
        <v>9406582649</v>
      </c>
      <c r="D3996" s="2">
        <v>1</v>
      </c>
      <c r="E3996" t="str">
        <f>"4574674200835049"</f>
        <v>4574674200835049</v>
      </c>
      <c r="F3996" t="str">
        <f>"016"</f>
        <v>016</v>
      </c>
      <c r="G3996">
        <v>1</v>
      </c>
      <c r="H3996">
        <v>2023</v>
      </c>
      <c r="I3996" t="s">
        <v>4111</v>
      </c>
    </row>
    <row r="3997" spans="1:9" x14ac:dyDescent="0.3">
      <c r="A3997" t="s">
        <v>10128</v>
      </c>
      <c r="B3997" t="s">
        <v>105</v>
      </c>
      <c r="C3997">
        <v>9406582649</v>
      </c>
      <c r="D3997" s="2">
        <v>1</v>
      </c>
      <c r="E3997" t="str">
        <f>"4574674200834901"</f>
        <v>4574674200834901</v>
      </c>
      <c r="F3997" t="str">
        <f>"384"</f>
        <v>384</v>
      </c>
      <c r="G3997">
        <v>1</v>
      </c>
      <c r="H3997">
        <v>2023</v>
      </c>
      <c r="I3997" t="s">
        <v>4112</v>
      </c>
    </row>
    <row r="3998" spans="1:9" x14ac:dyDescent="0.3">
      <c r="A3998" t="s">
        <v>10128</v>
      </c>
      <c r="B3998" t="s">
        <v>105</v>
      </c>
      <c r="C3998">
        <v>9406582649</v>
      </c>
      <c r="D3998" s="2">
        <v>1</v>
      </c>
      <c r="E3998" t="str">
        <f>"4574674200835122"</f>
        <v>4574674200835122</v>
      </c>
      <c r="F3998" t="str">
        <f>"384"</f>
        <v>384</v>
      </c>
      <c r="G3998">
        <v>1</v>
      </c>
      <c r="H3998">
        <v>2023</v>
      </c>
      <c r="I3998" t="s">
        <v>4113</v>
      </c>
    </row>
    <row r="3999" spans="1:9" x14ac:dyDescent="0.3">
      <c r="A3999" t="s">
        <v>10128</v>
      </c>
      <c r="B3999" t="s">
        <v>105</v>
      </c>
      <c r="C3999">
        <v>9406582649</v>
      </c>
      <c r="D3999" s="2">
        <v>1</v>
      </c>
      <c r="E3999" t="str">
        <f>"4574674200834943"</f>
        <v>4574674200834943</v>
      </c>
      <c r="F3999" t="str">
        <f>"130"</f>
        <v>130</v>
      </c>
      <c r="G3999">
        <v>1</v>
      </c>
      <c r="H3999">
        <v>2023</v>
      </c>
      <c r="I3999" t="s">
        <v>4114</v>
      </c>
    </row>
    <row r="4000" spans="1:9" x14ac:dyDescent="0.3">
      <c r="A4000" t="s">
        <v>10129</v>
      </c>
      <c r="B4000" t="s">
        <v>106</v>
      </c>
      <c r="C4000">
        <v>9406582649</v>
      </c>
      <c r="D4000" s="2">
        <v>1</v>
      </c>
      <c r="E4000" t="str">
        <f>"4574674200835197"</f>
        <v>4574674200835197</v>
      </c>
      <c r="F4000" t="str">
        <f>"850"</f>
        <v>850</v>
      </c>
      <c r="G4000">
        <v>1</v>
      </c>
      <c r="H4000">
        <v>2023</v>
      </c>
      <c r="I4000" t="s">
        <v>4115</v>
      </c>
    </row>
    <row r="4001" spans="1:9" x14ac:dyDescent="0.3">
      <c r="A4001" t="s">
        <v>10129</v>
      </c>
      <c r="B4001" t="s">
        <v>106</v>
      </c>
      <c r="C4001">
        <v>9406582649</v>
      </c>
      <c r="D4001" s="2">
        <v>1</v>
      </c>
      <c r="E4001" t="str">
        <f>"4574674200834976"</f>
        <v>4574674200834976</v>
      </c>
      <c r="F4001" t="str">
        <f>"793"</f>
        <v>793</v>
      </c>
      <c r="G4001">
        <v>1</v>
      </c>
      <c r="H4001">
        <v>2023</v>
      </c>
      <c r="I4001" t="s">
        <v>4116</v>
      </c>
    </row>
    <row r="4002" spans="1:9" x14ac:dyDescent="0.3">
      <c r="A4002" t="s">
        <v>10129</v>
      </c>
      <c r="B4002" t="s">
        <v>106</v>
      </c>
      <c r="C4002">
        <v>9406582649</v>
      </c>
      <c r="D4002" s="2">
        <v>1</v>
      </c>
      <c r="E4002" t="str">
        <f>"4574674200834968"</f>
        <v>4574674200834968</v>
      </c>
      <c r="F4002" t="str">
        <f>"492"</f>
        <v>492</v>
      </c>
      <c r="G4002">
        <v>1</v>
      </c>
      <c r="H4002">
        <v>2023</v>
      </c>
      <c r="I4002" t="s">
        <v>4117</v>
      </c>
    </row>
    <row r="4003" spans="1:9" x14ac:dyDescent="0.3">
      <c r="A4003" t="s">
        <v>10129</v>
      </c>
      <c r="B4003" t="s">
        <v>106</v>
      </c>
      <c r="C4003">
        <v>9406582649</v>
      </c>
      <c r="D4003" s="2">
        <v>1</v>
      </c>
      <c r="E4003" t="str">
        <f>"4574674200834984"</f>
        <v>4574674200834984</v>
      </c>
      <c r="F4003" t="str">
        <f>"116"</f>
        <v>116</v>
      </c>
      <c r="G4003">
        <v>1</v>
      </c>
      <c r="H4003">
        <v>2023</v>
      </c>
      <c r="I4003" t="s">
        <v>4118</v>
      </c>
    </row>
    <row r="4004" spans="1:9" x14ac:dyDescent="0.3">
      <c r="A4004" t="s">
        <v>10129</v>
      </c>
      <c r="B4004" t="s">
        <v>106</v>
      </c>
      <c r="C4004">
        <v>9406582649</v>
      </c>
      <c r="D4004" s="2">
        <v>1</v>
      </c>
      <c r="E4004" t="str">
        <f>"4574674200834992"</f>
        <v>4574674200834992</v>
      </c>
      <c r="F4004" t="str">
        <f>"548"</f>
        <v>548</v>
      </c>
      <c r="G4004">
        <v>1</v>
      </c>
      <c r="H4004">
        <v>2023</v>
      </c>
      <c r="I4004" t="s">
        <v>4119</v>
      </c>
    </row>
    <row r="4005" spans="1:9" x14ac:dyDescent="0.3">
      <c r="A4005" t="s">
        <v>10129</v>
      </c>
      <c r="B4005" t="s">
        <v>106</v>
      </c>
      <c r="C4005">
        <v>9406582649</v>
      </c>
      <c r="D4005" s="2">
        <v>1</v>
      </c>
      <c r="E4005" t="str">
        <f>"4574674200835296"</f>
        <v>4574674200835296</v>
      </c>
      <c r="F4005" t="str">
        <f>"054"</f>
        <v>054</v>
      </c>
      <c r="G4005">
        <v>1</v>
      </c>
      <c r="H4005">
        <v>2023</v>
      </c>
      <c r="I4005" t="s">
        <v>4120</v>
      </c>
    </row>
    <row r="4006" spans="1:9" x14ac:dyDescent="0.3">
      <c r="A4006" t="s">
        <v>10129</v>
      </c>
      <c r="B4006" t="s">
        <v>106</v>
      </c>
      <c r="C4006">
        <v>9406582649</v>
      </c>
      <c r="D4006" s="2">
        <v>1</v>
      </c>
      <c r="E4006" t="str">
        <f>"4574674200835361"</f>
        <v>4574674200835361</v>
      </c>
      <c r="F4006" t="str">
        <f>"560"</f>
        <v>560</v>
      </c>
      <c r="G4006">
        <v>1</v>
      </c>
      <c r="H4006">
        <v>2023</v>
      </c>
      <c r="I4006" t="s">
        <v>4121</v>
      </c>
    </row>
    <row r="4007" spans="1:9" x14ac:dyDescent="0.3">
      <c r="A4007" t="s">
        <v>10129</v>
      </c>
      <c r="B4007" t="s">
        <v>106</v>
      </c>
      <c r="C4007">
        <v>9406582649</v>
      </c>
      <c r="D4007" s="2">
        <v>1</v>
      </c>
      <c r="E4007" t="str">
        <f>"4574674200835460"</f>
        <v>4574674200835460</v>
      </c>
      <c r="F4007" t="str">
        <f>"922"</f>
        <v>922</v>
      </c>
      <c r="G4007">
        <v>1</v>
      </c>
      <c r="H4007">
        <v>2023</v>
      </c>
      <c r="I4007" t="s">
        <v>4122</v>
      </c>
    </row>
    <row r="4008" spans="1:9" x14ac:dyDescent="0.3">
      <c r="A4008" t="s">
        <v>10129</v>
      </c>
      <c r="B4008" t="s">
        <v>106</v>
      </c>
      <c r="C4008">
        <v>9406582649</v>
      </c>
      <c r="D4008" s="2">
        <v>1</v>
      </c>
      <c r="E4008" t="str">
        <f>"4574674200835486"</f>
        <v>4574674200835486</v>
      </c>
      <c r="F4008" t="str">
        <f>"646"</f>
        <v>646</v>
      </c>
      <c r="G4008">
        <v>1</v>
      </c>
      <c r="H4008">
        <v>2023</v>
      </c>
      <c r="I4008" t="s">
        <v>4123</v>
      </c>
    </row>
    <row r="4009" spans="1:9" x14ac:dyDescent="0.3">
      <c r="A4009" t="s">
        <v>10129</v>
      </c>
      <c r="B4009" t="s">
        <v>106</v>
      </c>
      <c r="C4009">
        <v>9406582649</v>
      </c>
      <c r="D4009" s="2">
        <v>1</v>
      </c>
      <c r="E4009" t="str">
        <f>"4574674200835494"</f>
        <v>4574674200835494</v>
      </c>
      <c r="F4009" t="str">
        <f>"509"</f>
        <v>509</v>
      </c>
      <c r="G4009">
        <v>1</v>
      </c>
      <c r="H4009">
        <v>2023</v>
      </c>
      <c r="I4009" t="s">
        <v>4124</v>
      </c>
    </row>
    <row r="4010" spans="1:9" x14ac:dyDescent="0.3">
      <c r="A4010" t="s">
        <v>10130</v>
      </c>
      <c r="B4010" t="s">
        <v>107</v>
      </c>
      <c r="C4010">
        <v>9406582649</v>
      </c>
      <c r="D4010" s="2">
        <v>1</v>
      </c>
      <c r="E4010" t="str">
        <f>"4574674200835502"</f>
        <v>4574674200835502</v>
      </c>
      <c r="F4010" t="str">
        <f>"648"</f>
        <v>648</v>
      </c>
      <c r="G4010">
        <v>1</v>
      </c>
      <c r="H4010">
        <v>2023</v>
      </c>
      <c r="I4010" t="s">
        <v>4125</v>
      </c>
    </row>
    <row r="4011" spans="1:9" x14ac:dyDescent="0.3">
      <c r="A4011" t="s">
        <v>10130</v>
      </c>
      <c r="B4011" t="s">
        <v>107</v>
      </c>
      <c r="C4011">
        <v>9406582649</v>
      </c>
      <c r="D4011" s="2">
        <v>1</v>
      </c>
      <c r="E4011" t="str">
        <f>"4574674200835510"</f>
        <v>4574674200835510</v>
      </c>
      <c r="F4011" t="str">
        <f>"169"</f>
        <v>169</v>
      </c>
      <c r="G4011">
        <v>1</v>
      </c>
      <c r="H4011">
        <v>2023</v>
      </c>
      <c r="I4011" t="s">
        <v>4126</v>
      </c>
    </row>
    <row r="4012" spans="1:9" x14ac:dyDescent="0.3">
      <c r="A4012" t="s">
        <v>10130</v>
      </c>
      <c r="B4012" t="s">
        <v>107</v>
      </c>
      <c r="C4012">
        <v>9406582649</v>
      </c>
      <c r="D4012" s="2">
        <v>1</v>
      </c>
      <c r="E4012" t="str">
        <f>"4574674200835650"</f>
        <v>4574674200835650</v>
      </c>
      <c r="F4012" t="str">
        <f>"247"</f>
        <v>247</v>
      </c>
      <c r="G4012">
        <v>1</v>
      </c>
      <c r="H4012">
        <v>2023</v>
      </c>
      <c r="I4012" t="s">
        <v>4127</v>
      </c>
    </row>
    <row r="4013" spans="1:9" x14ac:dyDescent="0.3">
      <c r="A4013" t="s">
        <v>10130</v>
      </c>
      <c r="B4013" t="s">
        <v>107</v>
      </c>
      <c r="C4013">
        <v>9406582649</v>
      </c>
      <c r="D4013" s="2">
        <v>1</v>
      </c>
      <c r="E4013" t="str">
        <f>"4574674200835700"</f>
        <v>4574674200835700</v>
      </c>
      <c r="F4013" t="str">
        <f>"388"</f>
        <v>388</v>
      </c>
      <c r="G4013">
        <v>1</v>
      </c>
      <c r="H4013">
        <v>2023</v>
      </c>
      <c r="I4013" t="s">
        <v>4128</v>
      </c>
    </row>
    <row r="4014" spans="1:9" x14ac:dyDescent="0.3">
      <c r="A4014" t="s">
        <v>10130</v>
      </c>
      <c r="B4014" t="s">
        <v>107</v>
      </c>
      <c r="C4014">
        <v>9406582649</v>
      </c>
      <c r="D4014" s="2">
        <v>1</v>
      </c>
      <c r="E4014" t="str">
        <f>"4574674200835585"</f>
        <v>4574674200835585</v>
      </c>
      <c r="F4014" t="str">
        <f>"737"</f>
        <v>737</v>
      </c>
      <c r="G4014">
        <v>1</v>
      </c>
      <c r="H4014">
        <v>2023</v>
      </c>
      <c r="I4014" t="s">
        <v>4129</v>
      </c>
    </row>
    <row r="4015" spans="1:9" x14ac:dyDescent="0.3">
      <c r="A4015" t="s">
        <v>10130</v>
      </c>
      <c r="B4015" t="s">
        <v>107</v>
      </c>
      <c r="C4015">
        <v>9406582649</v>
      </c>
      <c r="D4015" s="2">
        <v>1</v>
      </c>
      <c r="E4015" t="str">
        <f>"4574674200835825"</f>
        <v>4574674200835825</v>
      </c>
      <c r="F4015" t="str">
        <f>"577"</f>
        <v>577</v>
      </c>
      <c r="G4015">
        <v>1</v>
      </c>
      <c r="H4015">
        <v>2023</v>
      </c>
      <c r="I4015" t="s">
        <v>4130</v>
      </c>
    </row>
    <row r="4016" spans="1:9" x14ac:dyDescent="0.3">
      <c r="A4016" t="s">
        <v>10130</v>
      </c>
      <c r="B4016" t="s">
        <v>107</v>
      </c>
      <c r="C4016">
        <v>9406582649</v>
      </c>
      <c r="D4016" s="2">
        <v>1</v>
      </c>
      <c r="E4016" t="str">
        <f>"4574674200836005"</f>
        <v>4574674200836005</v>
      </c>
      <c r="F4016" t="str">
        <f>"973"</f>
        <v>973</v>
      </c>
      <c r="G4016">
        <v>1</v>
      </c>
      <c r="H4016">
        <v>2023</v>
      </c>
      <c r="I4016" t="s">
        <v>4131</v>
      </c>
    </row>
    <row r="4017" spans="1:9" x14ac:dyDescent="0.3">
      <c r="A4017" t="s">
        <v>10130</v>
      </c>
      <c r="B4017" t="s">
        <v>107</v>
      </c>
      <c r="C4017">
        <v>9406582649</v>
      </c>
      <c r="D4017" s="2">
        <v>1</v>
      </c>
      <c r="E4017" t="str">
        <f>"4574674200835874"</f>
        <v>4574674200835874</v>
      </c>
      <c r="F4017" t="str">
        <f>"483"</f>
        <v>483</v>
      </c>
      <c r="G4017">
        <v>1</v>
      </c>
      <c r="H4017">
        <v>2023</v>
      </c>
      <c r="I4017" t="s">
        <v>4132</v>
      </c>
    </row>
    <row r="4018" spans="1:9" x14ac:dyDescent="0.3">
      <c r="A4018" t="s">
        <v>10130</v>
      </c>
      <c r="B4018" t="s">
        <v>107</v>
      </c>
      <c r="C4018">
        <v>9406582649</v>
      </c>
      <c r="D4018" s="2">
        <v>1</v>
      </c>
      <c r="E4018" t="str">
        <f>"4574674200836021"</f>
        <v>4574674200836021</v>
      </c>
      <c r="F4018" t="str">
        <f>"588"</f>
        <v>588</v>
      </c>
      <c r="G4018">
        <v>1</v>
      </c>
      <c r="H4018">
        <v>2023</v>
      </c>
      <c r="I4018" t="s">
        <v>4133</v>
      </c>
    </row>
    <row r="4019" spans="1:9" x14ac:dyDescent="0.3">
      <c r="A4019" t="s">
        <v>10130</v>
      </c>
      <c r="B4019" t="s">
        <v>107</v>
      </c>
      <c r="C4019">
        <v>9406582649</v>
      </c>
      <c r="D4019" s="2">
        <v>1</v>
      </c>
      <c r="E4019" t="str">
        <f>"4574674200836039"</f>
        <v>4574674200836039</v>
      </c>
      <c r="F4019" t="str">
        <f>"036"</f>
        <v>036</v>
      </c>
      <c r="G4019">
        <v>1</v>
      </c>
      <c r="H4019">
        <v>2023</v>
      </c>
      <c r="I4019" t="s">
        <v>4134</v>
      </c>
    </row>
    <row r="4020" spans="1:9" x14ac:dyDescent="0.3">
      <c r="A4020" t="s">
        <v>10131</v>
      </c>
      <c r="B4020" t="s">
        <v>108</v>
      </c>
      <c r="C4020">
        <v>9406582649</v>
      </c>
      <c r="D4020" s="2">
        <v>1</v>
      </c>
      <c r="E4020" t="str">
        <f>"4574674200836013"</f>
        <v>4574674200836013</v>
      </c>
      <c r="F4020" t="str">
        <f>"633"</f>
        <v>633</v>
      </c>
      <c r="G4020">
        <v>1</v>
      </c>
      <c r="H4020">
        <v>2023</v>
      </c>
      <c r="I4020" t="s">
        <v>4135</v>
      </c>
    </row>
    <row r="4021" spans="1:9" x14ac:dyDescent="0.3">
      <c r="A4021" t="s">
        <v>10131</v>
      </c>
      <c r="B4021" t="s">
        <v>108</v>
      </c>
      <c r="C4021">
        <v>9406582649</v>
      </c>
      <c r="D4021" s="2">
        <v>1</v>
      </c>
      <c r="E4021" t="str">
        <f>"4574674200835999"</f>
        <v>4574674200835999</v>
      </c>
      <c r="F4021" t="str">
        <f>"857"</f>
        <v>857</v>
      </c>
      <c r="G4021">
        <v>1</v>
      </c>
      <c r="H4021">
        <v>2023</v>
      </c>
      <c r="I4021" t="s">
        <v>4136</v>
      </c>
    </row>
    <row r="4022" spans="1:9" x14ac:dyDescent="0.3">
      <c r="A4022" t="s">
        <v>10131</v>
      </c>
      <c r="B4022" t="s">
        <v>108</v>
      </c>
      <c r="C4022">
        <v>9406582649</v>
      </c>
      <c r="D4022" s="2">
        <v>1</v>
      </c>
      <c r="E4022" t="str">
        <f>"4574674200836237"</f>
        <v>4574674200836237</v>
      </c>
      <c r="F4022" t="str">
        <f>"836"</f>
        <v>836</v>
      </c>
      <c r="G4022">
        <v>1</v>
      </c>
      <c r="H4022">
        <v>2023</v>
      </c>
      <c r="I4022" t="s">
        <v>4137</v>
      </c>
    </row>
    <row r="4023" spans="1:9" x14ac:dyDescent="0.3">
      <c r="A4023" t="s">
        <v>10131</v>
      </c>
      <c r="B4023" t="s">
        <v>108</v>
      </c>
      <c r="C4023">
        <v>9406582649</v>
      </c>
      <c r="D4023" s="2">
        <v>1</v>
      </c>
      <c r="E4023" t="str">
        <f>"4574674200836104"</f>
        <v>4574674200836104</v>
      </c>
      <c r="F4023" t="str">
        <f>"184"</f>
        <v>184</v>
      </c>
      <c r="G4023">
        <v>1</v>
      </c>
      <c r="H4023">
        <v>2023</v>
      </c>
      <c r="I4023" t="s">
        <v>4138</v>
      </c>
    </row>
    <row r="4024" spans="1:9" x14ac:dyDescent="0.3">
      <c r="A4024" t="s">
        <v>10131</v>
      </c>
      <c r="B4024" t="s">
        <v>108</v>
      </c>
      <c r="C4024">
        <v>9406582649</v>
      </c>
      <c r="D4024" s="2">
        <v>1</v>
      </c>
      <c r="E4024" t="str">
        <f>"4574674200836112"</f>
        <v>4574674200836112</v>
      </c>
      <c r="F4024" t="str">
        <f>"899"</f>
        <v>899</v>
      </c>
      <c r="G4024">
        <v>1</v>
      </c>
      <c r="H4024">
        <v>2023</v>
      </c>
      <c r="I4024" t="s">
        <v>4139</v>
      </c>
    </row>
    <row r="4025" spans="1:9" x14ac:dyDescent="0.3">
      <c r="A4025" t="s">
        <v>10131</v>
      </c>
      <c r="B4025" t="s">
        <v>108</v>
      </c>
      <c r="C4025">
        <v>9406582649</v>
      </c>
      <c r="D4025" s="2">
        <v>1</v>
      </c>
      <c r="E4025" t="str">
        <f>"4574674200836120"</f>
        <v>4574674200836120</v>
      </c>
      <c r="F4025" t="str">
        <f>"541"</f>
        <v>541</v>
      </c>
      <c r="G4025">
        <v>1</v>
      </c>
      <c r="H4025">
        <v>2023</v>
      </c>
      <c r="I4025" t="s">
        <v>4140</v>
      </c>
    </row>
    <row r="4026" spans="1:9" x14ac:dyDescent="0.3">
      <c r="A4026" t="s">
        <v>10131</v>
      </c>
      <c r="B4026" t="s">
        <v>108</v>
      </c>
      <c r="C4026">
        <v>9406582649</v>
      </c>
      <c r="D4026" s="2">
        <v>1</v>
      </c>
      <c r="E4026" t="str">
        <f>"4574674200836138"</f>
        <v>4574674200836138</v>
      </c>
      <c r="F4026" t="str">
        <f>"683"</f>
        <v>683</v>
      </c>
      <c r="G4026">
        <v>1</v>
      </c>
      <c r="H4026">
        <v>2023</v>
      </c>
      <c r="I4026" t="s">
        <v>4141</v>
      </c>
    </row>
    <row r="4027" spans="1:9" x14ac:dyDescent="0.3">
      <c r="A4027" t="s">
        <v>10131</v>
      </c>
      <c r="B4027" t="s">
        <v>108</v>
      </c>
      <c r="C4027">
        <v>9406582649</v>
      </c>
      <c r="D4027" s="2">
        <v>1</v>
      </c>
      <c r="E4027" t="str">
        <f>"4574674200836153"</f>
        <v>4574674200836153</v>
      </c>
      <c r="F4027" t="str">
        <f>"983"</f>
        <v>983</v>
      </c>
      <c r="G4027">
        <v>1</v>
      </c>
      <c r="H4027">
        <v>2023</v>
      </c>
      <c r="I4027" t="s">
        <v>4142</v>
      </c>
    </row>
    <row r="4028" spans="1:9" x14ac:dyDescent="0.3">
      <c r="A4028" t="s">
        <v>10131</v>
      </c>
      <c r="B4028" t="s">
        <v>108</v>
      </c>
      <c r="C4028">
        <v>9406582649</v>
      </c>
      <c r="D4028" s="2">
        <v>1</v>
      </c>
      <c r="E4028" t="str">
        <f>"4574674200836369"</f>
        <v>4574674200836369</v>
      </c>
      <c r="F4028" t="str">
        <f>"522"</f>
        <v>522</v>
      </c>
      <c r="G4028">
        <v>1</v>
      </c>
      <c r="H4028">
        <v>2023</v>
      </c>
      <c r="I4028" t="s">
        <v>4143</v>
      </c>
    </row>
    <row r="4029" spans="1:9" x14ac:dyDescent="0.3">
      <c r="A4029" t="s">
        <v>10131</v>
      </c>
      <c r="B4029" t="s">
        <v>108</v>
      </c>
      <c r="C4029">
        <v>9406582649</v>
      </c>
      <c r="D4029" s="2">
        <v>1</v>
      </c>
      <c r="E4029" t="str">
        <f>"4574674200836625"</f>
        <v>4574674200836625</v>
      </c>
      <c r="F4029" t="str">
        <f>"967"</f>
        <v>967</v>
      </c>
      <c r="G4029">
        <v>1</v>
      </c>
      <c r="H4029">
        <v>2023</v>
      </c>
      <c r="I4029" t="s">
        <v>4144</v>
      </c>
    </row>
    <row r="4030" spans="1:9" x14ac:dyDescent="0.3">
      <c r="A4030" t="s">
        <v>10132</v>
      </c>
      <c r="B4030" t="s">
        <v>109</v>
      </c>
      <c r="C4030">
        <v>9406582649</v>
      </c>
      <c r="D4030" s="2">
        <v>1</v>
      </c>
      <c r="E4030" t="str">
        <f>"4574674200836427"</f>
        <v>4574674200836427</v>
      </c>
      <c r="F4030" t="str">
        <f>"813"</f>
        <v>813</v>
      </c>
      <c r="G4030">
        <v>1</v>
      </c>
      <c r="H4030">
        <v>2023</v>
      </c>
      <c r="I4030" t="s">
        <v>4145</v>
      </c>
    </row>
    <row r="4031" spans="1:9" x14ac:dyDescent="0.3">
      <c r="A4031" t="s">
        <v>10132</v>
      </c>
      <c r="B4031" t="s">
        <v>109</v>
      </c>
      <c r="C4031">
        <v>9406582649</v>
      </c>
      <c r="D4031" s="2">
        <v>1</v>
      </c>
      <c r="E4031" t="str">
        <f>"4574674200836724"</f>
        <v>4574674200836724</v>
      </c>
      <c r="F4031" t="str">
        <f>"572"</f>
        <v>572</v>
      </c>
      <c r="G4031">
        <v>1</v>
      </c>
      <c r="H4031">
        <v>2023</v>
      </c>
      <c r="I4031" t="s">
        <v>4146</v>
      </c>
    </row>
    <row r="4032" spans="1:9" x14ac:dyDescent="0.3">
      <c r="A4032" t="s">
        <v>10132</v>
      </c>
      <c r="B4032" t="s">
        <v>109</v>
      </c>
      <c r="C4032">
        <v>9406582649</v>
      </c>
      <c r="D4032" s="2">
        <v>1</v>
      </c>
      <c r="E4032" t="str">
        <f>"4574674200836435"</f>
        <v>4574674200836435</v>
      </c>
      <c r="F4032" t="str">
        <f>"704"</f>
        <v>704</v>
      </c>
      <c r="G4032">
        <v>1</v>
      </c>
      <c r="H4032">
        <v>2023</v>
      </c>
      <c r="I4032" t="s">
        <v>4147</v>
      </c>
    </row>
    <row r="4033" spans="1:9" x14ac:dyDescent="0.3">
      <c r="A4033" t="s">
        <v>10132</v>
      </c>
      <c r="B4033" t="s">
        <v>109</v>
      </c>
      <c r="C4033">
        <v>9406582649</v>
      </c>
      <c r="D4033" s="2">
        <v>1</v>
      </c>
      <c r="E4033" t="str">
        <f>"4574674200836443"</f>
        <v>4574674200836443</v>
      </c>
      <c r="F4033" t="str">
        <f>"214"</f>
        <v>214</v>
      </c>
      <c r="G4033">
        <v>1</v>
      </c>
      <c r="H4033">
        <v>2023</v>
      </c>
      <c r="I4033" t="s">
        <v>4148</v>
      </c>
    </row>
    <row r="4034" spans="1:9" x14ac:dyDescent="0.3">
      <c r="A4034" t="s">
        <v>10132</v>
      </c>
      <c r="B4034" t="s">
        <v>109</v>
      </c>
      <c r="C4034">
        <v>9406582649</v>
      </c>
      <c r="D4034" s="2">
        <v>1</v>
      </c>
      <c r="E4034" t="str">
        <f>"4574674200836450"</f>
        <v>4574674200836450</v>
      </c>
      <c r="F4034" t="str">
        <f>"496"</f>
        <v>496</v>
      </c>
      <c r="G4034">
        <v>1</v>
      </c>
      <c r="H4034">
        <v>2023</v>
      </c>
      <c r="I4034" t="s">
        <v>4149</v>
      </c>
    </row>
    <row r="4035" spans="1:9" x14ac:dyDescent="0.3">
      <c r="A4035" t="s">
        <v>10132</v>
      </c>
      <c r="B4035" t="s">
        <v>109</v>
      </c>
      <c r="C4035">
        <v>9406582649</v>
      </c>
      <c r="D4035" s="2">
        <v>1</v>
      </c>
      <c r="E4035" t="str">
        <f>"4574674200836476"</f>
        <v>4574674200836476</v>
      </c>
      <c r="F4035" t="str">
        <f>"838"</f>
        <v>838</v>
      </c>
      <c r="G4035">
        <v>1</v>
      </c>
      <c r="H4035">
        <v>2023</v>
      </c>
      <c r="I4035" t="s">
        <v>4150</v>
      </c>
    </row>
    <row r="4036" spans="1:9" x14ac:dyDescent="0.3">
      <c r="A4036" t="s">
        <v>10132</v>
      </c>
      <c r="B4036" t="s">
        <v>109</v>
      </c>
      <c r="C4036">
        <v>9406582649</v>
      </c>
      <c r="D4036" s="2">
        <v>1</v>
      </c>
      <c r="E4036" t="str">
        <f>"4574674200836807"</f>
        <v>4574674200836807</v>
      </c>
      <c r="F4036" t="str">
        <f>"794"</f>
        <v>794</v>
      </c>
      <c r="G4036">
        <v>1</v>
      </c>
      <c r="H4036">
        <v>2023</v>
      </c>
      <c r="I4036" t="s">
        <v>4151</v>
      </c>
    </row>
    <row r="4037" spans="1:9" x14ac:dyDescent="0.3">
      <c r="A4037" t="s">
        <v>10132</v>
      </c>
      <c r="B4037" t="s">
        <v>109</v>
      </c>
      <c r="C4037">
        <v>9406582649</v>
      </c>
      <c r="D4037" s="2">
        <v>1</v>
      </c>
      <c r="E4037" t="str">
        <f>"4574674200836898"</f>
        <v>4574674200836898</v>
      </c>
      <c r="F4037" t="str">
        <f>"262"</f>
        <v>262</v>
      </c>
      <c r="G4037">
        <v>1</v>
      </c>
      <c r="H4037">
        <v>2023</v>
      </c>
      <c r="I4037" t="s">
        <v>4152</v>
      </c>
    </row>
    <row r="4038" spans="1:9" x14ac:dyDescent="0.3">
      <c r="A4038" t="s">
        <v>10132</v>
      </c>
      <c r="B4038" t="s">
        <v>109</v>
      </c>
      <c r="C4038">
        <v>9406582649</v>
      </c>
      <c r="D4038" s="2">
        <v>1</v>
      </c>
      <c r="E4038" t="str">
        <f>"4574674200836526"</f>
        <v>4574674200836526</v>
      </c>
      <c r="F4038" t="str">
        <f>"859"</f>
        <v>859</v>
      </c>
      <c r="G4038">
        <v>1</v>
      </c>
      <c r="H4038">
        <v>2023</v>
      </c>
      <c r="I4038" t="s">
        <v>4153</v>
      </c>
    </row>
    <row r="4039" spans="1:9" x14ac:dyDescent="0.3">
      <c r="A4039" t="s">
        <v>10132</v>
      </c>
      <c r="B4039" t="s">
        <v>109</v>
      </c>
      <c r="C4039">
        <v>9406582649</v>
      </c>
      <c r="D4039" s="2">
        <v>1</v>
      </c>
      <c r="E4039" t="str">
        <f>"4574674200836997"</f>
        <v>4574674200836997</v>
      </c>
      <c r="F4039" t="str">
        <f>"651"</f>
        <v>651</v>
      </c>
      <c r="G4039">
        <v>1</v>
      </c>
      <c r="H4039">
        <v>2023</v>
      </c>
      <c r="I4039" t="s">
        <v>4154</v>
      </c>
    </row>
    <row r="4040" spans="1:9" x14ac:dyDescent="0.3">
      <c r="A4040" t="s">
        <v>10133</v>
      </c>
      <c r="B4040" t="s">
        <v>110</v>
      </c>
      <c r="C4040">
        <v>9406980470</v>
      </c>
      <c r="D4040" s="2">
        <v>1</v>
      </c>
      <c r="E4040" t="str">
        <f>"4574674200836567"</f>
        <v>4574674200836567</v>
      </c>
      <c r="F4040" t="str">
        <f>"436"</f>
        <v>436</v>
      </c>
      <c r="G4040">
        <v>1</v>
      </c>
      <c r="H4040">
        <v>2023</v>
      </c>
      <c r="I4040" t="s">
        <v>4155</v>
      </c>
    </row>
    <row r="4041" spans="1:9" x14ac:dyDescent="0.3">
      <c r="A4041" t="s">
        <v>10133</v>
      </c>
      <c r="B4041" t="s">
        <v>110</v>
      </c>
      <c r="C4041">
        <v>9406980470</v>
      </c>
      <c r="D4041" s="2">
        <v>1</v>
      </c>
      <c r="E4041" t="str">
        <f>"4574674200836575"</f>
        <v>4574674200836575</v>
      </c>
      <c r="F4041" t="str">
        <f>"896"</f>
        <v>896</v>
      </c>
      <c r="G4041">
        <v>1</v>
      </c>
      <c r="H4041">
        <v>2023</v>
      </c>
      <c r="I4041" t="s">
        <v>4156</v>
      </c>
    </row>
    <row r="4042" spans="1:9" x14ac:dyDescent="0.3">
      <c r="A4042" t="s">
        <v>10133</v>
      </c>
      <c r="B4042" t="s">
        <v>110</v>
      </c>
      <c r="C4042">
        <v>9406980470</v>
      </c>
      <c r="D4042" s="2">
        <v>1</v>
      </c>
      <c r="E4042" t="str">
        <f>"4574674200837037"</f>
        <v>4574674200837037</v>
      </c>
      <c r="F4042" t="str">
        <f>"275"</f>
        <v>275</v>
      </c>
      <c r="G4042">
        <v>1</v>
      </c>
      <c r="H4042">
        <v>2023</v>
      </c>
      <c r="I4042" t="s">
        <v>4157</v>
      </c>
    </row>
    <row r="4043" spans="1:9" x14ac:dyDescent="0.3">
      <c r="A4043" t="s">
        <v>10133</v>
      </c>
      <c r="B4043" t="s">
        <v>110</v>
      </c>
      <c r="C4043">
        <v>9406980470</v>
      </c>
      <c r="D4043" s="2">
        <v>1</v>
      </c>
      <c r="E4043" t="str">
        <f>"4574674200836591"</f>
        <v>4574674200836591</v>
      </c>
      <c r="F4043" t="str">
        <f>"301"</f>
        <v>301</v>
      </c>
      <c r="G4043">
        <v>1</v>
      </c>
      <c r="H4043">
        <v>2023</v>
      </c>
      <c r="I4043" t="s">
        <v>4158</v>
      </c>
    </row>
    <row r="4044" spans="1:9" x14ac:dyDescent="0.3">
      <c r="A4044" t="s">
        <v>10133</v>
      </c>
      <c r="B4044" t="s">
        <v>110</v>
      </c>
      <c r="C4044">
        <v>9406980470</v>
      </c>
      <c r="D4044" s="2">
        <v>1</v>
      </c>
      <c r="E4044" t="str">
        <f>"4574674200836583"</f>
        <v>4574674200836583</v>
      </c>
      <c r="F4044" t="str">
        <f>"492"</f>
        <v>492</v>
      </c>
      <c r="G4044">
        <v>1</v>
      </c>
      <c r="H4044">
        <v>2023</v>
      </c>
      <c r="I4044" t="s">
        <v>4159</v>
      </c>
    </row>
    <row r="4045" spans="1:9" x14ac:dyDescent="0.3">
      <c r="A4045" t="s">
        <v>10133</v>
      </c>
      <c r="B4045" t="s">
        <v>110</v>
      </c>
      <c r="C4045">
        <v>9406980470</v>
      </c>
      <c r="D4045" s="2">
        <v>1</v>
      </c>
      <c r="E4045" t="str">
        <f>"4574674200837268"</f>
        <v>4574674200837268</v>
      </c>
      <c r="F4045" t="str">
        <f>"455"</f>
        <v>455</v>
      </c>
      <c r="G4045">
        <v>1</v>
      </c>
      <c r="H4045">
        <v>2023</v>
      </c>
      <c r="I4045" t="s">
        <v>4160</v>
      </c>
    </row>
    <row r="4046" spans="1:9" x14ac:dyDescent="0.3">
      <c r="A4046" t="s">
        <v>10133</v>
      </c>
      <c r="B4046" t="s">
        <v>110</v>
      </c>
      <c r="C4046">
        <v>9406980470</v>
      </c>
      <c r="D4046" s="2">
        <v>1</v>
      </c>
      <c r="E4046" t="str">
        <f>"4574674200837177"</f>
        <v>4574674200837177</v>
      </c>
      <c r="F4046" t="str">
        <f>"246"</f>
        <v>246</v>
      </c>
      <c r="G4046">
        <v>1</v>
      </c>
      <c r="H4046">
        <v>2023</v>
      </c>
      <c r="I4046" t="s">
        <v>4161</v>
      </c>
    </row>
    <row r="4047" spans="1:9" x14ac:dyDescent="0.3">
      <c r="A4047" t="s">
        <v>10133</v>
      </c>
      <c r="B4047" t="s">
        <v>110</v>
      </c>
      <c r="C4047">
        <v>9406980470</v>
      </c>
      <c r="D4047" s="2">
        <v>1</v>
      </c>
      <c r="E4047" t="str">
        <f>"4574674200837409"</f>
        <v>4574674200837409</v>
      </c>
      <c r="F4047" t="str">
        <f>"186"</f>
        <v>186</v>
      </c>
      <c r="G4047">
        <v>1</v>
      </c>
      <c r="H4047">
        <v>2023</v>
      </c>
      <c r="I4047" t="s">
        <v>4162</v>
      </c>
    </row>
    <row r="4048" spans="1:9" x14ac:dyDescent="0.3">
      <c r="A4048" t="s">
        <v>10133</v>
      </c>
      <c r="B4048" t="s">
        <v>110</v>
      </c>
      <c r="C4048">
        <v>9406980470</v>
      </c>
      <c r="D4048" s="2">
        <v>1</v>
      </c>
      <c r="E4048" t="str">
        <f>"4574674200837284"</f>
        <v>4574674200837284</v>
      </c>
      <c r="F4048" t="str">
        <f>"962"</f>
        <v>962</v>
      </c>
      <c r="G4048">
        <v>1</v>
      </c>
      <c r="H4048">
        <v>2023</v>
      </c>
      <c r="I4048" t="s">
        <v>4163</v>
      </c>
    </row>
    <row r="4049" spans="1:9" x14ac:dyDescent="0.3">
      <c r="A4049" t="s">
        <v>10133</v>
      </c>
      <c r="B4049" t="s">
        <v>110</v>
      </c>
      <c r="C4049">
        <v>9406980470</v>
      </c>
      <c r="D4049" s="2">
        <v>1</v>
      </c>
      <c r="E4049" t="str">
        <f>"4574674200837292"</f>
        <v>4574674200837292</v>
      </c>
      <c r="F4049" t="str">
        <f>"617"</f>
        <v>617</v>
      </c>
      <c r="G4049">
        <v>1</v>
      </c>
      <c r="H4049">
        <v>2023</v>
      </c>
      <c r="I4049" t="s">
        <v>4164</v>
      </c>
    </row>
    <row r="4050" spans="1:9" x14ac:dyDescent="0.3">
      <c r="A4050" t="s">
        <v>10134</v>
      </c>
      <c r="B4050" t="s">
        <v>111</v>
      </c>
      <c r="C4050">
        <v>9406980470</v>
      </c>
      <c r="D4050" s="2">
        <v>1</v>
      </c>
      <c r="E4050" t="str">
        <f>"4574674200837300"</f>
        <v>4574674200837300</v>
      </c>
      <c r="F4050" t="str">
        <f>"024"</f>
        <v>024</v>
      </c>
      <c r="G4050">
        <v>1</v>
      </c>
      <c r="H4050">
        <v>2023</v>
      </c>
      <c r="I4050" t="s">
        <v>4165</v>
      </c>
    </row>
    <row r="4051" spans="1:9" x14ac:dyDescent="0.3">
      <c r="A4051" t="s">
        <v>10134</v>
      </c>
      <c r="B4051" t="s">
        <v>111</v>
      </c>
      <c r="C4051">
        <v>9406980470</v>
      </c>
      <c r="D4051" s="2">
        <v>1</v>
      </c>
      <c r="E4051" t="str">
        <f>"4574674200837326"</f>
        <v>4574674200837326</v>
      </c>
      <c r="F4051" t="str">
        <f>"785"</f>
        <v>785</v>
      </c>
      <c r="G4051">
        <v>1</v>
      </c>
      <c r="H4051">
        <v>2023</v>
      </c>
      <c r="I4051" t="s">
        <v>4166</v>
      </c>
    </row>
    <row r="4052" spans="1:9" x14ac:dyDescent="0.3">
      <c r="A4052" t="s">
        <v>10134</v>
      </c>
      <c r="B4052" t="s">
        <v>111</v>
      </c>
      <c r="C4052">
        <v>9406980470</v>
      </c>
      <c r="D4052" s="2">
        <v>1</v>
      </c>
      <c r="E4052" t="str">
        <f>"4574674200837516"</f>
        <v>4574674200837516</v>
      </c>
      <c r="F4052" t="str">
        <f>"660"</f>
        <v>660</v>
      </c>
      <c r="G4052">
        <v>1</v>
      </c>
      <c r="H4052">
        <v>2023</v>
      </c>
      <c r="I4052" t="s">
        <v>4167</v>
      </c>
    </row>
    <row r="4053" spans="1:9" x14ac:dyDescent="0.3">
      <c r="A4053" t="s">
        <v>10134</v>
      </c>
      <c r="B4053" t="s">
        <v>111</v>
      </c>
      <c r="C4053">
        <v>9406980470</v>
      </c>
      <c r="D4053" s="2">
        <v>1</v>
      </c>
      <c r="E4053" t="str">
        <f>"4574674200837565"</f>
        <v>4574674200837565</v>
      </c>
      <c r="F4053" t="str">
        <f>"626"</f>
        <v>626</v>
      </c>
      <c r="G4053">
        <v>1</v>
      </c>
      <c r="H4053">
        <v>2023</v>
      </c>
      <c r="I4053" t="s">
        <v>4168</v>
      </c>
    </row>
    <row r="4054" spans="1:9" x14ac:dyDescent="0.3">
      <c r="A4054" t="s">
        <v>10134</v>
      </c>
      <c r="B4054" t="s">
        <v>111</v>
      </c>
      <c r="C4054">
        <v>9406980470</v>
      </c>
      <c r="D4054" s="2">
        <v>1</v>
      </c>
      <c r="E4054" t="str">
        <f>"4574674200837383"</f>
        <v>4574674200837383</v>
      </c>
      <c r="F4054" t="str">
        <f>"914"</f>
        <v>914</v>
      </c>
      <c r="G4054">
        <v>1</v>
      </c>
      <c r="H4054">
        <v>2023</v>
      </c>
      <c r="I4054" t="s">
        <v>4169</v>
      </c>
    </row>
    <row r="4055" spans="1:9" x14ac:dyDescent="0.3">
      <c r="A4055" t="s">
        <v>10134</v>
      </c>
      <c r="B4055" t="s">
        <v>111</v>
      </c>
      <c r="C4055">
        <v>9406980470</v>
      </c>
      <c r="D4055" s="2">
        <v>1</v>
      </c>
      <c r="E4055" t="str">
        <f>"4574674200837391"</f>
        <v>4574674200837391</v>
      </c>
      <c r="F4055" t="str">
        <f>"685"</f>
        <v>685</v>
      </c>
      <c r="G4055">
        <v>1</v>
      </c>
      <c r="H4055">
        <v>2023</v>
      </c>
      <c r="I4055" t="s">
        <v>4170</v>
      </c>
    </row>
    <row r="4056" spans="1:9" x14ac:dyDescent="0.3">
      <c r="A4056" t="s">
        <v>10134</v>
      </c>
      <c r="B4056" t="s">
        <v>111</v>
      </c>
      <c r="C4056">
        <v>9406980470</v>
      </c>
      <c r="D4056" s="2">
        <v>1</v>
      </c>
      <c r="E4056" t="str">
        <f>"4574674200837615"</f>
        <v>4574674200837615</v>
      </c>
      <c r="F4056" t="str">
        <f>"984"</f>
        <v>984</v>
      </c>
      <c r="G4056">
        <v>1</v>
      </c>
      <c r="H4056">
        <v>2023</v>
      </c>
      <c r="I4056" t="s">
        <v>4171</v>
      </c>
    </row>
    <row r="4057" spans="1:9" x14ac:dyDescent="0.3">
      <c r="A4057" t="s">
        <v>10134</v>
      </c>
      <c r="B4057" t="s">
        <v>111</v>
      </c>
      <c r="C4057">
        <v>9406980470</v>
      </c>
      <c r="D4057" s="2">
        <v>1</v>
      </c>
      <c r="E4057" t="str">
        <f>"4574674200837631"</f>
        <v>4574674200837631</v>
      </c>
      <c r="F4057" t="str">
        <f>"651"</f>
        <v>651</v>
      </c>
      <c r="G4057">
        <v>1</v>
      </c>
      <c r="H4057">
        <v>2023</v>
      </c>
      <c r="I4057" t="s">
        <v>4172</v>
      </c>
    </row>
    <row r="4058" spans="1:9" x14ac:dyDescent="0.3">
      <c r="A4058" t="s">
        <v>10134</v>
      </c>
      <c r="B4058" t="s">
        <v>111</v>
      </c>
      <c r="C4058">
        <v>9406980470</v>
      </c>
      <c r="D4058" s="2">
        <v>1</v>
      </c>
      <c r="E4058" t="str">
        <f>"4574674200837649"</f>
        <v>4574674200837649</v>
      </c>
      <c r="F4058" t="str">
        <f>"966"</f>
        <v>966</v>
      </c>
      <c r="G4058">
        <v>1</v>
      </c>
      <c r="H4058">
        <v>2023</v>
      </c>
      <c r="I4058" t="s">
        <v>4173</v>
      </c>
    </row>
    <row r="4059" spans="1:9" x14ac:dyDescent="0.3">
      <c r="A4059" t="s">
        <v>10134</v>
      </c>
      <c r="B4059" t="s">
        <v>111</v>
      </c>
      <c r="C4059">
        <v>9406980470</v>
      </c>
      <c r="D4059" s="2">
        <v>1</v>
      </c>
      <c r="E4059" t="str">
        <f>"4574674200837912"</f>
        <v>4574674200837912</v>
      </c>
      <c r="F4059" t="str">
        <f>"321"</f>
        <v>321</v>
      </c>
      <c r="G4059">
        <v>1</v>
      </c>
      <c r="H4059">
        <v>2023</v>
      </c>
      <c r="I4059" t="s">
        <v>4174</v>
      </c>
    </row>
    <row r="4060" spans="1:9" x14ac:dyDescent="0.3">
      <c r="A4060" t="s">
        <v>10135</v>
      </c>
      <c r="B4060" t="s">
        <v>112</v>
      </c>
      <c r="C4060">
        <v>9406980470</v>
      </c>
      <c r="D4060" s="2">
        <v>1</v>
      </c>
      <c r="E4060" t="str">
        <f>"4574674200837896"</f>
        <v>4574674200837896</v>
      </c>
      <c r="F4060" t="str">
        <f>"717"</f>
        <v>717</v>
      </c>
      <c r="G4060">
        <v>1</v>
      </c>
      <c r="H4060">
        <v>2023</v>
      </c>
      <c r="I4060" t="s">
        <v>4175</v>
      </c>
    </row>
    <row r="4061" spans="1:9" x14ac:dyDescent="0.3">
      <c r="A4061" t="s">
        <v>10135</v>
      </c>
      <c r="B4061" t="s">
        <v>112</v>
      </c>
      <c r="C4061">
        <v>9406980470</v>
      </c>
      <c r="D4061" s="2">
        <v>1</v>
      </c>
      <c r="E4061" t="str">
        <f>"4574674200837698"</f>
        <v>4574674200837698</v>
      </c>
      <c r="F4061" t="str">
        <f>"226"</f>
        <v>226</v>
      </c>
      <c r="G4061">
        <v>1</v>
      </c>
      <c r="H4061">
        <v>2023</v>
      </c>
      <c r="I4061" t="s">
        <v>4176</v>
      </c>
    </row>
    <row r="4062" spans="1:9" x14ac:dyDescent="0.3">
      <c r="A4062" t="s">
        <v>10135</v>
      </c>
      <c r="B4062" t="s">
        <v>112</v>
      </c>
      <c r="C4062">
        <v>9406980470</v>
      </c>
      <c r="D4062" s="2">
        <v>1</v>
      </c>
      <c r="E4062" t="str">
        <f>"4574674200837714"</f>
        <v>4574674200837714</v>
      </c>
      <c r="F4062" t="str">
        <f>"823"</f>
        <v>823</v>
      </c>
      <c r="G4062">
        <v>1</v>
      </c>
      <c r="H4062">
        <v>2023</v>
      </c>
      <c r="I4062" t="s">
        <v>4177</v>
      </c>
    </row>
    <row r="4063" spans="1:9" x14ac:dyDescent="0.3">
      <c r="A4063" t="s">
        <v>10135</v>
      </c>
      <c r="B4063" t="s">
        <v>112</v>
      </c>
      <c r="C4063">
        <v>9406980470</v>
      </c>
      <c r="D4063" s="2">
        <v>1</v>
      </c>
      <c r="E4063" t="str">
        <f>"4574674200838068"</f>
        <v>4574674200838068</v>
      </c>
      <c r="F4063" t="str">
        <f>"450"</f>
        <v>450</v>
      </c>
      <c r="G4063">
        <v>1</v>
      </c>
      <c r="H4063">
        <v>2023</v>
      </c>
      <c r="I4063" t="s">
        <v>4178</v>
      </c>
    </row>
    <row r="4064" spans="1:9" x14ac:dyDescent="0.3">
      <c r="A4064" t="s">
        <v>10135</v>
      </c>
      <c r="B4064" t="s">
        <v>112</v>
      </c>
      <c r="C4064">
        <v>9406980470</v>
      </c>
      <c r="D4064" s="2">
        <v>1</v>
      </c>
      <c r="E4064" t="str">
        <f>"4574674200838050"</f>
        <v>4574674200838050</v>
      </c>
      <c r="F4064" t="str">
        <f>"075"</f>
        <v>075</v>
      </c>
      <c r="G4064">
        <v>1</v>
      </c>
      <c r="H4064">
        <v>2023</v>
      </c>
      <c r="I4064" t="s">
        <v>4179</v>
      </c>
    </row>
    <row r="4065" spans="1:9" x14ac:dyDescent="0.3">
      <c r="A4065" t="s">
        <v>10135</v>
      </c>
      <c r="B4065" t="s">
        <v>112</v>
      </c>
      <c r="C4065">
        <v>9406980470</v>
      </c>
      <c r="D4065" s="2">
        <v>1</v>
      </c>
      <c r="E4065" t="str">
        <f>"4574674200837748"</f>
        <v>4574674200837748</v>
      </c>
      <c r="F4065" t="str">
        <f>"587"</f>
        <v>587</v>
      </c>
      <c r="G4065">
        <v>1</v>
      </c>
      <c r="H4065">
        <v>2023</v>
      </c>
      <c r="I4065" t="s">
        <v>4180</v>
      </c>
    </row>
    <row r="4066" spans="1:9" x14ac:dyDescent="0.3">
      <c r="A4066" t="s">
        <v>10135</v>
      </c>
      <c r="B4066" t="s">
        <v>112</v>
      </c>
      <c r="C4066">
        <v>9406980470</v>
      </c>
      <c r="D4066" s="2">
        <v>1</v>
      </c>
      <c r="E4066" t="str">
        <f>"4574674200837755"</f>
        <v>4574674200837755</v>
      </c>
      <c r="F4066" t="str">
        <f>"516"</f>
        <v>516</v>
      </c>
      <c r="G4066">
        <v>1</v>
      </c>
      <c r="H4066">
        <v>2023</v>
      </c>
      <c r="I4066" t="s">
        <v>4181</v>
      </c>
    </row>
    <row r="4067" spans="1:9" x14ac:dyDescent="0.3">
      <c r="A4067" t="s">
        <v>10135</v>
      </c>
      <c r="B4067" t="s">
        <v>112</v>
      </c>
      <c r="C4067">
        <v>9406980470</v>
      </c>
      <c r="D4067" s="2">
        <v>1</v>
      </c>
      <c r="E4067" t="str">
        <f>"4574674200837763"</f>
        <v>4574674200837763</v>
      </c>
      <c r="F4067" t="str">
        <f>"499"</f>
        <v>499</v>
      </c>
      <c r="G4067">
        <v>1</v>
      </c>
      <c r="H4067">
        <v>2023</v>
      </c>
      <c r="I4067" t="s">
        <v>4182</v>
      </c>
    </row>
    <row r="4068" spans="1:9" x14ac:dyDescent="0.3">
      <c r="A4068" t="s">
        <v>10135</v>
      </c>
      <c r="B4068" t="s">
        <v>112</v>
      </c>
      <c r="C4068">
        <v>9406980470</v>
      </c>
      <c r="D4068" s="2">
        <v>1</v>
      </c>
      <c r="E4068" t="str">
        <f>"4574674200838217"</f>
        <v>4574674200838217</v>
      </c>
      <c r="F4068" t="str">
        <f>"349"</f>
        <v>349</v>
      </c>
      <c r="G4068">
        <v>1</v>
      </c>
      <c r="H4068">
        <v>2023</v>
      </c>
      <c r="I4068" t="s">
        <v>4183</v>
      </c>
    </row>
    <row r="4069" spans="1:9" x14ac:dyDescent="0.3">
      <c r="A4069" t="s">
        <v>10135</v>
      </c>
      <c r="B4069" t="s">
        <v>112</v>
      </c>
      <c r="C4069">
        <v>9406980470</v>
      </c>
      <c r="D4069" s="2">
        <v>1</v>
      </c>
      <c r="E4069" t="str">
        <f>"4574674200838225"</f>
        <v>4574674200838225</v>
      </c>
      <c r="F4069" t="str">
        <f>"797"</f>
        <v>797</v>
      </c>
      <c r="G4069">
        <v>1</v>
      </c>
      <c r="H4069">
        <v>2023</v>
      </c>
      <c r="I4069" t="s">
        <v>4184</v>
      </c>
    </row>
    <row r="4070" spans="1:9" x14ac:dyDescent="0.3">
      <c r="A4070" t="s">
        <v>10136</v>
      </c>
      <c r="B4070" t="s">
        <v>113</v>
      </c>
      <c r="C4070">
        <v>9406980470</v>
      </c>
      <c r="D4070" s="2">
        <v>1</v>
      </c>
      <c r="E4070" t="str">
        <f>"4574674200838423"</f>
        <v>4574674200838423</v>
      </c>
      <c r="F4070" t="str">
        <f>"082"</f>
        <v>082</v>
      </c>
      <c r="G4070">
        <v>1</v>
      </c>
      <c r="H4070">
        <v>2023</v>
      </c>
      <c r="I4070" t="s">
        <v>4185</v>
      </c>
    </row>
    <row r="4071" spans="1:9" x14ac:dyDescent="0.3">
      <c r="A4071" t="s">
        <v>10136</v>
      </c>
      <c r="B4071" t="s">
        <v>113</v>
      </c>
      <c r="C4071">
        <v>9406980470</v>
      </c>
      <c r="D4071" s="2">
        <v>1</v>
      </c>
      <c r="E4071" t="str">
        <f>"4574674200838373"</f>
        <v>4574674200838373</v>
      </c>
      <c r="F4071" t="str">
        <f>"316"</f>
        <v>316</v>
      </c>
      <c r="G4071">
        <v>1</v>
      </c>
      <c r="H4071">
        <v>2023</v>
      </c>
      <c r="I4071" t="s">
        <v>4186</v>
      </c>
    </row>
    <row r="4072" spans="1:9" x14ac:dyDescent="0.3">
      <c r="A4072" t="s">
        <v>10136</v>
      </c>
      <c r="B4072" t="s">
        <v>113</v>
      </c>
      <c r="C4072">
        <v>9406980470</v>
      </c>
      <c r="D4072" s="2">
        <v>1</v>
      </c>
      <c r="E4072" t="str">
        <f>"4574674200838464"</f>
        <v>4574674200838464</v>
      </c>
      <c r="F4072" t="str">
        <f>"014"</f>
        <v>014</v>
      </c>
      <c r="G4072">
        <v>1</v>
      </c>
      <c r="H4072">
        <v>2023</v>
      </c>
      <c r="I4072" t="s">
        <v>4187</v>
      </c>
    </row>
    <row r="4073" spans="1:9" x14ac:dyDescent="0.3">
      <c r="A4073" t="s">
        <v>10136</v>
      </c>
      <c r="B4073" t="s">
        <v>113</v>
      </c>
      <c r="C4073">
        <v>9406980470</v>
      </c>
      <c r="D4073" s="2">
        <v>1</v>
      </c>
      <c r="E4073" t="str">
        <f>"4574674200838449"</f>
        <v>4574674200838449</v>
      </c>
      <c r="F4073" t="str">
        <f>"186"</f>
        <v>186</v>
      </c>
      <c r="G4073">
        <v>1</v>
      </c>
      <c r="H4073">
        <v>2023</v>
      </c>
      <c r="I4073" t="s">
        <v>4188</v>
      </c>
    </row>
    <row r="4074" spans="1:9" x14ac:dyDescent="0.3">
      <c r="A4074" t="s">
        <v>10136</v>
      </c>
      <c r="B4074" t="s">
        <v>113</v>
      </c>
      <c r="C4074">
        <v>9406980470</v>
      </c>
      <c r="D4074" s="2">
        <v>1</v>
      </c>
      <c r="E4074" t="str">
        <f>"4574674200838456"</f>
        <v>4574674200838456</v>
      </c>
      <c r="F4074" t="str">
        <f>"549"</f>
        <v>549</v>
      </c>
      <c r="G4074">
        <v>1</v>
      </c>
      <c r="H4074">
        <v>2023</v>
      </c>
      <c r="I4074" t="s">
        <v>4189</v>
      </c>
    </row>
    <row r="4075" spans="1:9" x14ac:dyDescent="0.3">
      <c r="A4075" t="s">
        <v>10136</v>
      </c>
      <c r="B4075" t="s">
        <v>113</v>
      </c>
      <c r="C4075">
        <v>9406980470</v>
      </c>
      <c r="D4075" s="2">
        <v>1</v>
      </c>
      <c r="E4075" t="str">
        <f>"4574674200838472"</f>
        <v>4574674200838472</v>
      </c>
      <c r="F4075" t="str">
        <f>"426"</f>
        <v>426</v>
      </c>
      <c r="G4075">
        <v>1</v>
      </c>
      <c r="H4075">
        <v>2023</v>
      </c>
      <c r="I4075" t="s">
        <v>4190</v>
      </c>
    </row>
    <row r="4076" spans="1:9" x14ac:dyDescent="0.3">
      <c r="A4076" t="s">
        <v>10136</v>
      </c>
      <c r="B4076" t="s">
        <v>113</v>
      </c>
      <c r="C4076">
        <v>9406980470</v>
      </c>
      <c r="D4076" s="2">
        <v>1</v>
      </c>
      <c r="E4076" t="str">
        <f>"4574674200838670"</f>
        <v>4574674200838670</v>
      </c>
      <c r="F4076" t="str">
        <f>"244"</f>
        <v>244</v>
      </c>
      <c r="G4076">
        <v>1</v>
      </c>
      <c r="H4076">
        <v>2023</v>
      </c>
      <c r="I4076" t="s">
        <v>4191</v>
      </c>
    </row>
    <row r="4077" spans="1:9" x14ac:dyDescent="0.3">
      <c r="A4077" t="s">
        <v>10136</v>
      </c>
      <c r="B4077" t="s">
        <v>113</v>
      </c>
      <c r="C4077">
        <v>9406980470</v>
      </c>
      <c r="D4077" s="2">
        <v>1</v>
      </c>
      <c r="E4077" t="str">
        <f>"4574674200838712"</f>
        <v>4574674200838712</v>
      </c>
      <c r="F4077" t="str">
        <f>"891"</f>
        <v>891</v>
      </c>
      <c r="G4077">
        <v>1</v>
      </c>
      <c r="H4077">
        <v>2023</v>
      </c>
      <c r="I4077" t="s">
        <v>4192</v>
      </c>
    </row>
    <row r="4078" spans="1:9" x14ac:dyDescent="0.3">
      <c r="A4078" t="s">
        <v>10136</v>
      </c>
      <c r="B4078" t="s">
        <v>113</v>
      </c>
      <c r="C4078">
        <v>9406980470</v>
      </c>
      <c r="D4078" s="2">
        <v>1</v>
      </c>
      <c r="E4078" t="str">
        <f>"4574674200838530"</f>
        <v>4574674200838530</v>
      </c>
      <c r="F4078" t="str">
        <f>"220"</f>
        <v>220</v>
      </c>
      <c r="G4078">
        <v>1</v>
      </c>
      <c r="H4078">
        <v>2023</v>
      </c>
      <c r="I4078" t="s">
        <v>4193</v>
      </c>
    </row>
    <row r="4079" spans="1:9" x14ac:dyDescent="0.3">
      <c r="A4079" t="s">
        <v>10136</v>
      </c>
      <c r="B4079" t="s">
        <v>113</v>
      </c>
      <c r="C4079">
        <v>9406980470</v>
      </c>
      <c r="D4079" s="2">
        <v>1</v>
      </c>
      <c r="E4079" t="str">
        <f>"4574674200838779"</f>
        <v>4574674200838779</v>
      </c>
      <c r="F4079" t="str">
        <f>"597"</f>
        <v>597</v>
      </c>
      <c r="G4079">
        <v>1</v>
      </c>
      <c r="H4079">
        <v>2023</v>
      </c>
      <c r="I4079" t="s">
        <v>4194</v>
      </c>
    </row>
    <row r="4080" spans="1:9" x14ac:dyDescent="0.3">
      <c r="A4080" t="s">
        <v>10137</v>
      </c>
      <c r="B4080" t="s">
        <v>114</v>
      </c>
      <c r="C4080">
        <v>9406980470</v>
      </c>
      <c r="D4080" s="2">
        <v>1</v>
      </c>
      <c r="E4080" t="str">
        <f>"4574674200838563"</f>
        <v>4574674200838563</v>
      </c>
      <c r="F4080" t="str">
        <f>"192"</f>
        <v>192</v>
      </c>
      <c r="G4080">
        <v>1</v>
      </c>
      <c r="H4080">
        <v>2023</v>
      </c>
      <c r="I4080" t="s">
        <v>4195</v>
      </c>
    </row>
    <row r="4081" spans="1:9" x14ac:dyDescent="0.3">
      <c r="A4081" t="s">
        <v>10137</v>
      </c>
      <c r="B4081" t="s">
        <v>114</v>
      </c>
      <c r="C4081">
        <v>9406980470</v>
      </c>
      <c r="D4081" s="2">
        <v>1</v>
      </c>
      <c r="E4081" t="str">
        <f>"4574674200838571"</f>
        <v>4574674200838571</v>
      </c>
      <c r="F4081" t="str">
        <f>"212"</f>
        <v>212</v>
      </c>
      <c r="G4081">
        <v>1</v>
      </c>
      <c r="H4081">
        <v>2023</v>
      </c>
      <c r="I4081" t="s">
        <v>4196</v>
      </c>
    </row>
    <row r="4082" spans="1:9" x14ac:dyDescent="0.3">
      <c r="A4082" t="s">
        <v>10137</v>
      </c>
      <c r="B4082" t="s">
        <v>114</v>
      </c>
      <c r="C4082">
        <v>9406980470</v>
      </c>
      <c r="D4082" s="2">
        <v>1</v>
      </c>
      <c r="E4082" t="str">
        <f>"4574674200838878"</f>
        <v>4574674200838878</v>
      </c>
      <c r="F4082" t="str">
        <f>"663"</f>
        <v>663</v>
      </c>
      <c r="G4082">
        <v>1</v>
      </c>
      <c r="H4082">
        <v>2023</v>
      </c>
      <c r="I4082" t="s">
        <v>4197</v>
      </c>
    </row>
    <row r="4083" spans="1:9" x14ac:dyDescent="0.3">
      <c r="A4083" t="s">
        <v>10137</v>
      </c>
      <c r="B4083" t="s">
        <v>114</v>
      </c>
      <c r="C4083">
        <v>9406980470</v>
      </c>
      <c r="D4083" s="2">
        <v>1</v>
      </c>
      <c r="E4083" t="str">
        <f>"4574674200838936"</f>
        <v>4574674200838936</v>
      </c>
      <c r="F4083" t="str">
        <f>"058"</f>
        <v>058</v>
      </c>
      <c r="G4083">
        <v>1</v>
      </c>
      <c r="H4083">
        <v>2023</v>
      </c>
      <c r="I4083" t="s">
        <v>4198</v>
      </c>
    </row>
    <row r="4084" spans="1:9" x14ac:dyDescent="0.3">
      <c r="A4084" t="s">
        <v>10137</v>
      </c>
      <c r="B4084" t="s">
        <v>114</v>
      </c>
      <c r="C4084">
        <v>9406980470</v>
      </c>
      <c r="D4084" s="2">
        <v>1</v>
      </c>
      <c r="E4084" t="str">
        <f>"4574674200838597"</f>
        <v>4574674200838597</v>
      </c>
      <c r="F4084" t="str">
        <f>"444"</f>
        <v>444</v>
      </c>
      <c r="G4084">
        <v>1</v>
      </c>
      <c r="H4084">
        <v>2023</v>
      </c>
      <c r="I4084" t="s">
        <v>4199</v>
      </c>
    </row>
    <row r="4085" spans="1:9" x14ac:dyDescent="0.3">
      <c r="A4085" t="s">
        <v>10137</v>
      </c>
      <c r="B4085" t="s">
        <v>114</v>
      </c>
      <c r="C4085">
        <v>9406980470</v>
      </c>
      <c r="D4085" s="2">
        <v>1</v>
      </c>
      <c r="E4085" t="str">
        <f>"4574674200839017"</f>
        <v>4574674200839017</v>
      </c>
      <c r="F4085" t="str">
        <f>"150"</f>
        <v>150</v>
      </c>
      <c r="G4085">
        <v>1</v>
      </c>
      <c r="H4085">
        <v>2023</v>
      </c>
      <c r="I4085" t="s">
        <v>4200</v>
      </c>
    </row>
    <row r="4086" spans="1:9" x14ac:dyDescent="0.3">
      <c r="A4086" t="s">
        <v>10137</v>
      </c>
      <c r="B4086" t="s">
        <v>114</v>
      </c>
      <c r="C4086">
        <v>9406980470</v>
      </c>
      <c r="D4086" s="2">
        <v>1</v>
      </c>
      <c r="E4086" t="str">
        <f>"4574674200839066"</f>
        <v>4574674200839066</v>
      </c>
      <c r="F4086" t="str">
        <f>"547"</f>
        <v>547</v>
      </c>
      <c r="G4086">
        <v>1</v>
      </c>
      <c r="H4086">
        <v>2023</v>
      </c>
      <c r="I4086" t="s">
        <v>4201</v>
      </c>
    </row>
    <row r="4087" spans="1:9" x14ac:dyDescent="0.3">
      <c r="A4087" t="s">
        <v>10137</v>
      </c>
      <c r="B4087" t="s">
        <v>114</v>
      </c>
      <c r="C4087">
        <v>9406980470</v>
      </c>
      <c r="D4087" s="2">
        <v>1</v>
      </c>
      <c r="E4087" t="str">
        <f>"4574674200839264"</f>
        <v>4574674200839264</v>
      </c>
      <c r="F4087" t="str">
        <f>"818"</f>
        <v>818</v>
      </c>
      <c r="G4087">
        <v>1</v>
      </c>
      <c r="H4087">
        <v>2023</v>
      </c>
      <c r="I4087" t="s">
        <v>4202</v>
      </c>
    </row>
    <row r="4088" spans="1:9" x14ac:dyDescent="0.3">
      <c r="A4088" t="s">
        <v>10137</v>
      </c>
      <c r="B4088" t="s">
        <v>114</v>
      </c>
      <c r="C4088">
        <v>9406980470</v>
      </c>
      <c r="D4088" s="2">
        <v>1</v>
      </c>
      <c r="E4088" t="str">
        <f>"4574674200839298"</f>
        <v>4574674200839298</v>
      </c>
      <c r="F4088" t="str">
        <f>"078"</f>
        <v>078</v>
      </c>
      <c r="G4088">
        <v>1</v>
      </c>
      <c r="H4088">
        <v>2023</v>
      </c>
      <c r="I4088" t="s">
        <v>4203</v>
      </c>
    </row>
    <row r="4089" spans="1:9" x14ac:dyDescent="0.3">
      <c r="A4089" t="s">
        <v>10137</v>
      </c>
      <c r="B4089" t="s">
        <v>114</v>
      </c>
      <c r="C4089">
        <v>9406980470</v>
      </c>
      <c r="D4089" s="2">
        <v>1</v>
      </c>
      <c r="E4089" t="str">
        <f>"4574674200839090"</f>
        <v>4574674200839090</v>
      </c>
      <c r="F4089" t="str">
        <f>"027"</f>
        <v>027</v>
      </c>
      <c r="G4089">
        <v>1</v>
      </c>
      <c r="H4089">
        <v>2023</v>
      </c>
      <c r="I4089" t="s">
        <v>4204</v>
      </c>
    </row>
    <row r="4090" spans="1:9" x14ac:dyDescent="0.3">
      <c r="A4090" t="s">
        <v>10138</v>
      </c>
      <c r="B4090" t="s">
        <v>115</v>
      </c>
      <c r="C4090">
        <v>9406980470</v>
      </c>
      <c r="D4090" s="2">
        <v>1</v>
      </c>
      <c r="E4090" t="str">
        <f>"4574674200839082"</f>
        <v>4574674200839082</v>
      </c>
      <c r="F4090" t="str">
        <f>"990"</f>
        <v>990</v>
      </c>
      <c r="G4090">
        <v>1</v>
      </c>
      <c r="H4090">
        <v>2023</v>
      </c>
      <c r="I4090" t="s">
        <v>4205</v>
      </c>
    </row>
    <row r="4091" spans="1:9" x14ac:dyDescent="0.3">
      <c r="A4091" t="s">
        <v>10138</v>
      </c>
      <c r="B4091" t="s">
        <v>115</v>
      </c>
      <c r="C4091">
        <v>9406980470</v>
      </c>
      <c r="D4091" s="2">
        <v>1</v>
      </c>
      <c r="E4091" t="str">
        <f>"4574674200839421"</f>
        <v>4574674200839421</v>
      </c>
      <c r="F4091" t="str">
        <f>"101"</f>
        <v>101</v>
      </c>
      <c r="G4091">
        <v>1</v>
      </c>
      <c r="H4091">
        <v>2023</v>
      </c>
      <c r="I4091" t="s">
        <v>4206</v>
      </c>
    </row>
    <row r="4092" spans="1:9" x14ac:dyDescent="0.3">
      <c r="A4092" t="s">
        <v>10138</v>
      </c>
      <c r="B4092" t="s">
        <v>115</v>
      </c>
      <c r="C4092">
        <v>9406980470</v>
      </c>
      <c r="D4092" s="2">
        <v>1</v>
      </c>
      <c r="E4092" t="str">
        <f>"4574674200839116"</f>
        <v>4574674200839116</v>
      </c>
      <c r="F4092" t="str">
        <f>"822"</f>
        <v>822</v>
      </c>
      <c r="G4092">
        <v>1</v>
      </c>
      <c r="H4092">
        <v>2023</v>
      </c>
      <c r="I4092" t="s">
        <v>4207</v>
      </c>
    </row>
    <row r="4093" spans="1:9" x14ac:dyDescent="0.3">
      <c r="A4093" t="s">
        <v>10138</v>
      </c>
      <c r="B4093" t="s">
        <v>115</v>
      </c>
      <c r="C4093">
        <v>9406980470</v>
      </c>
      <c r="D4093" s="2">
        <v>1</v>
      </c>
      <c r="E4093" t="str">
        <f>"4574674200839447"</f>
        <v>4574674200839447</v>
      </c>
      <c r="F4093" t="str">
        <f>"169"</f>
        <v>169</v>
      </c>
      <c r="G4093">
        <v>1</v>
      </c>
      <c r="H4093">
        <v>2023</v>
      </c>
      <c r="I4093" t="s">
        <v>4208</v>
      </c>
    </row>
    <row r="4094" spans="1:9" x14ac:dyDescent="0.3">
      <c r="A4094" t="s">
        <v>10138</v>
      </c>
      <c r="B4094" t="s">
        <v>115</v>
      </c>
      <c r="C4094">
        <v>9406980470</v>
      </c>
      <c r="D4094" s="2">
        <v>1</v>
      </c>
      <c r="E4094" t="str">
        <f>"4574674200839124"</f>
        <v>4574674200839124</v>
      </c>
      <c r="F4094" t="str">
        <f>"678"</f>
        <v>678</v>
      </c>
      <c r="G4094">
        <v>1</v>
      </c>
      <c r="H4094">
        <v>2023</v>
      </c>
      <c r="I4094" t="s">
        <v>4209</v>
      </c>
    </row>
    <row r="4095" spans="1:9" x14ac:dyDescent="0.3">
      <c r="A4095" t="s">
        <v>10138</v>
      </c>
      <c r="B4095" t="s">
        <v>115</v>
      </c>
      <c r="C4095">
        <v>9406980470</v>
      </c>
      <c r="D4095" s="2">
        <v>1</v>
      </c>
      <c r="E4095" t="str">
        <f>"4574674200839181"</f>
        <v>4574674200839181</v>
      </c>
      <c r="F4095" t="str">
        <f>"934"</f>
        <v>934</v>
      </c>
      <c r="G4095">
        <v>1</v>
      </c>
      <c r="H4095">
        <v>2023</v>
      </c>
      <c r="I4095" t="s">
        <v>4210</v>
      </c>
    </row>
    <row r="4096" spans="1:9" x14ac:dyDescent="0.3">
      <c r="A4096" t="s">
        <v>10138</v>
      </c>
      <c r="B4096" t="s">
        <v>115</v>
      </c>
      <c r="C4096">
        <v>9406980470</v>
      </c>
      <c r="D4096" s="2">
        <v>1</v>
      </c>
      <c r="E4096" t="str">
        <f>"4574674200839579"</f>
        <v>4574674200839579</v>
      </c>
      <c r="F4096" t="str">
        <f>"887"</f>
        <v>887</v>
      </c>
      <c r="G4096">
        <v>1</v>
      </c>
      <c r="H4096">
        <v>2023</v>
      </c>
      <c r="I4096" t="s">
        <v>4211</v>
      </c>
    </row>
    <row r="4097" spans="1:9" x14ac:dyDescent="0.3">
      <c r="A4097" t="s">
        <v>10138</v>
      </c>
      <c r="B4097" t="s">
        <v>115</v>
      </c>
      <c r="C4097">
        <v>9406980470</v>
      </c>
      <c r="D4097" s="2">
        <v>1</v>
      </c>
      <c r="E4097" t="str">
        <f>"4574674200839595"</f>
        <v>4574674200839595</v>
      </c>
      <c r="F4097" t="str">
        <f>"412"</f>
        <v>412</v>
      </c>
      <c r="G4097">
        <v>1</v>
      </c>
      <c r="H4097">
        <v>2023</v>
      </c>
      <c r="I4097" t="s">
        <v>4212</v>
      </c>
    </row>
    <row r="4098" spans="1:9" x14ac:dyDescent="0.3">
      <c r="A4098" t="s">
        <v>10138</v>
      </c>
      <c r="B4098" t="s">
        <v>115</v>
      </c>
      <c r="C4098">
        <v>9406980470</v>
      </c>
      <c r="D4098" s="2">
        <v>1</v>
      </c>
      <c r="E4098" t="str">
        <f>"4574674200839801"</f>
        <v>4574674200839801</v>
      </c>
      <c r="F4098" t="str">
        <f>"314"</f>
        <v>314</v>
      </c>
      <c r="G4098">
        <v>1</v>
      </c>
      <c r="H4098">
        <v>2023</v>
      </c>
      <c r="I4098" t="s">
        <v>4213</v>
      </c>
    </row>
    <row r="4099" spans="1:9" x14ac:dyDescent="0.3">
      <c r="A4099" t="s">
        <v>10138</v>
      </c>
      <c r="B4099" t="s">
        <v>115</v>
      </c>
      <c r="C4099">
        <v>9406980470</v>
      </c>
      <c r="D4099" s="2">
        <v>1</v>
      </c>
      <c r="E4099" t="str">
        <f>"4574674200839827"</f>
        <v>4574674200839827</v>
      </c>
      <c r="F4099" t="str">
        <f>"279"</f>
        <v>279</v>
      </c>
      <c r="G4099">
        <v>1</v>
      </c>
      <c r="H4099">
        <v>2023</v>
      </c>
      <c r="I4099" t="s">
        <v>4214</v>
      </c>
    </row>
    <row r="4100" spans="1:9" x14ac:dyDescent="0.3">
      <c r="A4100" t="s">
        <v>10139</v>
      </c>
      <c r="B4100" t="s">
        <v>116</v>
      </c>
      <c r="C4100">
        <v>9406980470</v>
      </c>
      <c r="D4100" s="2">
        <v>1</v>
      </c>
      <c r="E4100" t="str">
        <f>"4574674200839835"</f>
        <v>4574674200839835</v>
      </c>
      <c r="F4100" t="str">
        <f>"397"</f>
        <v>397</v>
      </c>
      <c r="G4100">
        <v>1</v>
      </c>
      <c r="H4100">
        <v>2023</v>
      </c>
      <c r="I4100" t="s">
        <v>4215</v>
      </c>
    </row>
    <row r="4101" spans="1:9" x14ac:dyDescent="0.3">
      <c r="A4101" t="s">
        <v>10139</v>
      </c>
      <c r="B4101" t="s">
        <v>116</v>
      </c>
      <c r="C4101">
        <v>9406980470</v>
      </c>
      <c r="D4101" s="2">
        <v>1</v>
      </c>
      <c r="E4101" t="str">
        <f>"4574674200839850"</f>
        <v>4574674200839850</v>
      </c>
      <c r="F4101" t="str">
        <f>"004"</f>
        <v>004</v>
      </c>
      <c r="G4101">
        <v>1</v>
      </c>
      <c r="H4101">
        <v>2023</v>
      </c>
      <c r="I4101" t="s">
        <v>4216</v>
      </c>
    </row>
    <row r="4102" spans="1:9" x14ac:dyDescent="0.3">
      <c r="A4102" t="s">
        <v>10139</v>
      </c>
      <c r="B4102" t="s">
        <v>116</v>
      </c>
      <c r="C4102">
        <v>9406980470</v>
      </c>
      <c r="D4102" s="2">
        <v>1</v>
      </c>
      <c r="E4102" t="str">
        <f>"4574674200839769"</f>
        <v>4574674200839769</v>
      </c>
      <c r="F4102" t="str">
        <f>"410"</f>
        <v>410</v>
      </c>
      <c r="G4102">
        <v>1</v>
      </c>
      <c r="H4102">
        <v>2023</v>
      </c>
      <c r="I4102" t="s">
        <v>4217</v>
      </c>
    </row>
    <row r="4103" spans="1:9" x14ac:dyDescent="0.3">
      <c r="A4103" t="s">
        <v>10139</v>
      </c>
      <c r="B4103" t="s">
        <v>116</v>
      </c>
      <c r="C4103">
        <v>9406980470</v>
      </c>
      <c r="D4103" s="2">
        <v>1</v>
      </c>
      <c r="E4103" t="str">
        <f>"4574674200839793"</f>
        <v>4574674200839793</v>
      </c>
      <c r="F4103" t="str">
        <f>"454"</f>
        <v>454</v>
      </c>
      <c r="G4103">
        <v>1</v>
      </c>
      <c r="H4103">
        <v>2023</v>
      </c>
      <c r="I4103" t="s">
        <v>4218</v>
      </c>
    </row>
    <row r="4104" spans="1:9" x14ac:dyDescent="0.3">
      <c r="A4104" t="s">
        <v>10139</v>
      </c>
      <c r="B4104" t="s">
        <v>116</v>
      </c>
      <c r="C4104">
        <v>9406980470</v>
      </c>
      <c r="D4104" s="2">
        <v>1</v>
      </c>
      <c r="E4104" t="str">
        <f>"4574674200839892"</f>
        <v>4574674200839892</v>
      </c>
      <c r="F4104" t="str">
        <f>"891"</f>
        <v>891</v>
      </c>
      <c r="G4104">
        <v>1</v>
      </c>
      <c r="H4104">
        <v>2023</v>
      </c>
      <c r="I4104" t="s">
        <v>4219</v>
      </c>
    </row>
    <row r="4105" spans="1:9" x14ac:dyDescent="0.3">
      <c r="A4105" t="s">
        <v>10139</v>
      </c>
      <c r="B4105" t="s">
        <v>116</v>
      </c>
      <c r="C4105">
        <v>9406980470</v>
      </c>
      <c r="D4105" s="2">
        <v>1</v>
      </c>
      <c r="E4105" t="str">
        <f>"4574674200839934"</f>
        <v>4574674200839934</v>
      </c>
      <c r="F4105" t="str">
        <f>"091"</f>
        <v>091</v>
      </c>
      <c r="G4105">
        <v>1</v>
      </c>
      <c r="H4105">
        <v>2023</v>
      </c>
      <c r="I4105" t="s">
        <v>4220</v>
      </c>
    </row>
    <row r="4106" spans="1:9" x14ac:dyDescent="0.3">
      <c r="A4106" t="s">
        <v>10139</v>
      </c>
      <c r="B4106" t="s">
        <v>116</v>
      </c>
      <c r="C4106">
        <v>9406980470</v>
      </c>
      <c r="D4106" s="2">
        <v>1</v>
      </c>
      <c r="E4106" t="str">
        <f>"4574674200839959"</f>
        <v>4574674200839959</v>
      </c>
      <c r="F4106" t="str">
        <f>"675"</f>
        <v>675</v>
      </c>
      <c r="G4106">
        <v>1</v>
      </c>
      <c r="H4106">
        <v>2023</v>
      </c>
      <c r="I4106" t="s">
        <v>4221</v>
      </c>
    </row>
    <row r="4107" spans="1:9" x14ac:dyDescent="0.3">
      <c r="A4107" t="s">
        <v>10139</v>
      </c>
      <c r="B4107" t="s">
        <v>116</v>
      </c>
      <c r="C4107">
        <v>9406980470</v>
      </c>
      <c r="D4107" s="2">
        <v>1</v>
      </c>
      <c r="E4107" t="str">
        <f>"4574674200839942"</f>
        <v>4574674200839942</v>
      </c>
      <c r="F4107" t="str">
        <f>"828"</f>
        <v>828</v>
      </c>
      <c r="G4107">
        <v>1</v>
      </c>
      <c r="H4107">
        <v>2023</v>
      </c>
      <c r="I4107" t="s">
        <v>4222</v>
      </c>
    </row>
    <row r="4108" spans="1:9" x14ac:dyDescent="0.3">
      <c r="A4108" t="s">
        <v>10139</v>
      </c>
      <c r="B4108" t="s">
        <v>116</v>
      </c>
      <c r="C4108">
        <v>9406980470</v>
      </c>
      <c r="D4108" s="2">
        <v>1</v>
      </c>
      <c r="E4108" t="str">
        <f>"4574674200839967"</f>
        <v>4574674200839967</v>
      </c>
      <c r="F4108" t="str">
        <f>"531"</f>
        <v>531</v>
      </c>
      <c r="G4108">
        <v>1</v>
      </c>
      <c r="H4108">
        <v>2023</v>
      </c>
      <c r="I4108" t="s">
        <v>4223</v>
      </c>
    </row>
    <row r="4109" spans="1:9" x14ac:dyDescent="0.3">
      <c r="A4109" t="s">
        <v>10117</v>
      </c>
      <c r="B4109" t="s">
        <v>9</v>
      </c>
      <c r="C4109">
        <v>7648876604</v>
      </c>
      <c r="D4109" s="2">
        <v>1</v>
      </c>
      <c r="E4109" t="str">
        <f>"4574674200840114"</f>
        <v>4574674200840114</v>
      </c>
      <c r="F4109" t="str">
        <f>"986"</f>
        <v>986</v>
      </c>
      <c r="G4109">
        <v>1</v>
      </c>
      <c r="H4109">
        <v>2023</v>
      </c>
      <c r="I4109" t="s">
        <v>4224</v>
      </c>
    </row>
    <row r="4110" spans="1:9" x14ac:dyDescent="0.3">
      <c r="A4110" t="s">
        <v>10117</v>
      </c>
      <c r="B4110" t="s">
        <v>9</v>
      </c>
      <c r="C4110">
        <v>7648876604</v>
      </c>
      <c r="D4110" s="2">
        <v>1</v>
      </c>
      <c r="E4110" t="str">
        <f>"4574674200840155"</f>
        <v>4574674200840155</v>
      </c>
      <c r="F4110" t="str">
        <f>"525"</f>
        <v>525</v>
      </c>
      <c r="G4110">
        <v>1</v>
      </c>
      <c r="H4110">
        <v>2023</v>
      </c>
      <c r="I4110" t="s">
        <v>4225</v>
      </c>
    </row>
    <row r="4111" spans="1:9" x14ac:dyDescent="0.3">
      <c r="A4111" t="s">
        <v>10117</v>
      </c>
      <c r="B4111" t="s">
        <v>9</v>
      </c>
      <c r="C4111">
        <v>7648876604</v>
      </c>
      <c r="D4111" s="2">
        <v>1</v>
      </c>
      <c r="E4111" t="str">
        <f>"4574674200840239"</f>
        <v>4574674200840239</v>
      </c>
      <c r="F4111" t="str">
        <f>"895"</f>
        <v>895</v>
      </c>
      <c r="G4111">
        <v>1</v>
      </c>
      <c r="H4111">
        <v>2023</v>
      </c>
      <c r="I4111" t="s">
        <v>4226</v>
      </c>
    </row>
    <row r="4112" spans="1:9" x14ac:dyDescent="0.3">
      <c r="A4112" t="s">
        <v>10117</v>
      </c>
      <c r="B4112" t="s">
        <v>9</v>
      </c>
      <c r="C4112">
        <v>7648876604</v>
      </c>
      <c r="D4112" s="2">
        <v>1</v>
      </c>
      <c r="E4112" t="str">
        <f>"4574674200840254"</f>
        <v>4574674200840254</v>
      </c>
      <c r="F4112" t="str">
        <f>"832"</f>
        <v>832</v>
      </c>
      <c r="G4112">
        <v>1</v>
      </c>
      <c r="H4112">
        <v>2023</v>
      </c>
      <c r="I4112" t="s">
        <v>4227</v>
      </c>
    </row>
    <row r="4113" spans="1:9" x14ac:dyDescent="0.3">
      <c r="A4113" t="s">
        <v>10117</v>
      </c>
      <c r="B4113" t="s">
        <v>9</v>
      </c>
      <c r="C4113">
        <v>7648876604</v>
      </c>
      <c r="D4113" s="2">
        <v>1</v>
      </c>
      <c r="E4113" t="str">
        <f>"4574674200840502"</f>
        <v>4574674200840502</v>
      </c>
      <c r="F4113" t="str">
        <f>"840"</f>
        <v>840</v>
      </c>
      <c r="G4113">
        <v>1</v>
      </c>
      <c r="H4113">
        <v>2023</v>
      </c>
      <c r="I4113" t="s">
        <v>4228</v>
      </c>
    </row>
    <row r="4114" spans="1:9" x14ac:dyDescent="0.3">
      <c r="A4114" t="s">
        <v>10117</v>
      </c>
      <c r="B4114" t="s">
        <v>9</v>
      </c>
      <c r="C4114">
        <v>7648876604</v>
      </c>
      <c r="D4114" s="2">
        <v>1</v>
      </c>
      <c r="E4114" t="str">
        <f>"4574674200840551"</f>
        <v>4574674200840551</v>
      </c>
      <c r="F4114" t="str">
        <f>"382"</f>
        <v>382</v>
      </c>
      <c r="G4114">
        <v>1</v>
      </c>
      <c r="H4114">
        <v>2023</v>
      </c>
      <c r="I4114" t="s">
        <v>4229</v>
      </c>
    </row>
    <row r="4115" spans="1:9" x14ac:dyDescent="0.3">
      <c r="A4115" t="s">
        <v>10117</v>
      </c>
      <c r="B4115" t="s">
        <v>9</v>
      </c>
      <c r="C4115">
        <v>7648876604</v>
      </c>
      <c r="D4115" s="2">
        <v>1</v>
      </c>
      <c r="E4115" t="str">
        <f>"4574674200840270"</f>
        <v>4574674200840270</v>
      </c>
      <c r="F4115" t="str">
        <f>"660"</f>
        <v>660</v>
      </c>
      <c r="G4115">
        <v>1</v>
      </c>
      <c r="H4115">
        <v>2023</v>
      </c>
      <c r="I4115" t="s">
        <v>4230</v>
      </c>
    </row>
    <row r="4116" spans="1:9" x14ac:dyDescent="0.3">
      <c r="A4116" t="s">
        <v>10117</v>
      </c>
      <c r="B4116" t="s">
        <v>9</v>
      </c>
      <c r="C4116">
        <v>7648876604</v>
      </c>
      <c r="D4116" s="2">
        <v>1</v>
      </c>
      <c r="E4116" t="str">
        <f>"4574674200840296"</f>
        <v>4574674200840296</v>
      </c>
      <c r="F4116" t="str">
        <f>"029"</f>
        <v>029</v>
      </c>
      <c r="G4116">
        <v>1</v>
      </c>
      <c r="H4116">
        <v>2023</v>
      </c>
      <c r="I4116" t="s">
        <v>4231</v>
      </c>
    </row>
    <row r="4117" spans="1:9" x14ac:dyDescent="0.3">
      <c r="A4117" t="s">
        <v>10117</v>
      </c>
      <c r="B4117" t="s">
        <v>9</v>
      </c>
      <c r="C4117">
        <v>7648876604</v>
      </c>
      <c r="D4117" s="2">
        <v>1</v>
      </c>
      <c r="E4117" t="str">
        <f>"4574674200840262"</f>
        <v>4574674200840262</v>
      </c>
      <c r="F4117" t="str">
        <f>"067"</f>
        <v>067</v>
      </c>
      <c r="G4117">
        <v>1</v>
      </c>
      <c r="H4117">
        <v>2023</v>
      </c>
      <c r="I4117" t="s">
        <v>4232</v>
      </c>
    </row>
    <row r="4118" spans="1:9" x14ac:dyDescent="0.3">
      <c r="A4118" t="s">
        <v>10117</v>
      </c>
      <c r="B4118" t="s">
        <v>9</v>
      </c>
      <c r="C4118">
        <v>7648876604</v>
      </c>
      <c r="D4118" s="2">
        <v>1</v>
      </c>
      <c r="E4118" t="str">
        <f>"4574674200840692"</f>
        <v>4574674200840692</v>
      </c>
      <c r="F4118" t="str">
        <f>"609"</f>
        <v>609</v>
      </c>
      <c r="G4118">
        <v>1</v>
      </c>
      <c r="H4118">
        <v>2023</v>
      </c>
      <c r="I4118" t="s">
        <v>4233</v>
      </c>
    </row>
    <row r="4119" spans="1:9" x14ac:dyDescent="0.3">
      <c r="A4119" t="s">
        <v>10118</v>
      </c>
      <c r="B4119" t="s">
        <v>10</v>
      </c>
      <c r="C4119">
        <v>7648876604</v>
      </c>
      <c r="D4119" s="2">
        <v>1</v>
      </c>
      <c r="E4119" t="str">
        <f>"4574674200840700"</f>
        <v>4574674200840700</v>
      </c>
      <c r="F4119" t="str">
        <f>"083"</f>
        <v>083</v>
      </c>
      <c r="G4119">
        <v>1</v>
      </c>
      <c r="H4119">
        <v>2023</v>
      </c>
      <c r="I4119" t="s">
        <v>4234</v>
      </c>
    </row>
    <row r="4120" spans="1:9" x14ac:dyDescent="0.3">
      <c r="A4120" t="s">
        <v>10118</v>
      </c>
      <c r="B4120" t="s">
        <v>10</v>
      </c>
      <c r="C4120">
        <v>7648876604</v>
      </c>
      <c r="D4120" s="2">
        <v>1</v>
      </c>
      <c r="E4120" t="str">
        <f>"4574674200840361"</f>
        <v>4574674200840361</v>
      </c>
      <c r="F4120" t="str">
        <f>"829"</f>
        <v>829</v>
      </c>
      <c r="G4120">
        <v>1</v>
      </c>
      <c r="H4120">
        <v>2023</v>
      </c>
      <c r="I4120" t="s">
        <v>4235</v>
      </c>
    </row>
    <row r="4121" spans="1:9" x14ac:dyDescent="0.3">
      <c r="A4121" t="s">
        <v>10118</v>
      </c>
      <c r="B4121" t="s">
        <v>10</v>
      </c>
      <c r="C4121">
        <v>7648876604</v>
      </c>
      <c r="D4121" s="2">
        <v>1</v>
      </c>
      <c r="E4121" t="str">
        <f>"4574674200840379"</f>
        <v>4574674200840379</v>
      </c>
      <c r="F4121" t="str">
        <f>"687"</f>
        <v>687</v>
      </c>
      <c r="G4121">
        <v>1</v>
      </c>
      <c r="H4121">
        <v>2023</v>
      </c>
      <c r="I4121" t="s">
        <v>4236</v>
      </c>
    </row>
    <row r="4122" spans="1:9" x14ac:dyDescent="0.3">
      <c r="A4122" t="s">
        <v>10118</v>
      </c>
      <c r="B4122" t="s">
        <v>10</v>
      </c>
      <c r="C4122">
        <v>7648876604</v>
      </c>
      <c r="D4122" s="2">
        <v>1</v>
      </c>
      <c r="E4122" t="str">
        <f>"4574674200840387"</f>
        <v>4574674200840387</v>
      </c>
      <c r="F4122" t="str">
        <f>"776"</f>
        <v>776</v>
      </c>
      <c r="G4122">
        <v>1</v>
      </c>
      <c r="H4122">
        <v>2023</v>
      </c>
      <c r="I4122" t="s">
        <v>4237</v>
      </c>
    </row>
    <row r="4123" spans="1:9" x14ac:dyDescent="0.3">
      <c r="A4123" t="s">
        <v>10118</v>
      </c>
      <c r="B4123" t="s">
        <v>10</v>
      </c>
      <c r="C4123">
        <v>7648876604</v>
      </c>
      <c r="D4123" s="2">
        <v>1</v>
      </c>
      <c r="E4123" t="str">
        <f>"4574674200840809"</f>
        <v>4574674200840809</v>
      </c>
      <c r="F4123" t="str">
        <f>"490"</f>
        <v>490</v>
      </c>
      <c r="G4123">
        <v>1</v>
      </c>
      <c r="H4123">
        <v>2023</v>
      </c>
      <c r="I4123" t="s">
        <v>4238</v>
      </c>
    </row>
    <row r="4124" spans="1:9" x14ac:dyDescent="0.3">
      <c r="A4124" t="s">
        <v>10118</v>
      </c>
      <c r="B4124" t="s">
        <v>10</v>
      </c>
      <c r="C4124">
        <v>7648876604</v>
      </c>
      <c r="D4124" s="2">
        <v>1</v>
      </c>
      <c r="E4124" t="str">
        <f>"4574674200840817"</f>
        <v>4574674200840817</v>
      </c>
      <c r="F4124" t="str">
        <f>"536"</f>
        <v>536</v>
      </c>
      <c r="G4124">
        <v>1</v>
      </c>
      <c r="H4124">
        <v>2023</v>
      </c>
      <c r="I4124" t="s">
        <v>4239</v>
      </c>
    </row>
    <row r="4125" spans="1:9" x14ac:dyDescent="0.3">
      <c r="A4125" t="s">
        <v>10118</v>
      </c>
      <c r="B4125" t="s">
        <v>10</v>
      </c>
      <c r="C4125">
        <v>7648876604</v>
      </c>
      <c r="D4125" s="2">
        <v>1</v>
      </c>
      <c r="E4125" t="str">
        <f>"4574674200841054"</f>
        <v>4574674200841054</v>
      </c>
      <c r="F4125" t="str">
        <f>"461"</f>
        <v>461</v>
      </c>
      <c r="G4125">
        <v>1</v>
      </c>
      <c r="H4125">
        <v>2023</v>
      </c>
      <c r="I4125" t="s">
        <v>4240</v>
      </c>
    </row>
    <row r="4126" spans="1:9" x14ac:dyDescent="0.3">
      <c r="A4126" t="s">
        <v>10118</v>
      </c>
      <c r="B4126" t="s">
        <v>10</v>
      </c>
      <c r="C4126">
        <v>7648876604</v>
      </c>
      <c r="D4126" s="2">
        <v>1</v>
      </c>
      <c r="E4126" t="str">
        <f>"4574674200841104"</f>
        <v>4574674200841104</v>
      </c>
      <c r="F4126" t="str">
        <f>"803"</f>
        <v>803</v>
      </c>
      <c r="G4126">
        <v>1</v>
      </c>
      <c r="H4126">
        <v>2023</v>
      </c>
      <c r="I4126" t="s">
        <v>4241</v>
      </c>
    </row>
    <row r="4127" spans="1:9" x14ac:dyDescent="0.3">
      <c r="A4127" t="s">
        <v>10118</v>
      </c>
      <c r="B4127" t="s">
        <v>10</v>
      </c>
      <c r="C4127">
        <v>7648876604</v>
      </c>
      <c r="D4127" s="2">
        <v>1</v>
      </c>
      <c r="E4127" t="str">
        <f>"4574674200840858"</f>
        <v>4574674200840858</v>
      </c>
      <c r="F4127" t="str">
        <f>"920"</f>
        <v>920</v>
      </c>
      <c r="G4127">
        <v>1</v>
      </c>
      <c r="H4127">
        <v>2023</v>
      </c>
      <c r="I4127" t="s">
        <v>4242</v>
      </c>
    </row>
    <row r="4128" spans="1:9" x14ac:dyDescent="0.3">
      <c r="A4128" t="s">
        <v>10118</v>
      </c>
      <c r="B4128" t="s">
        <v>10</v>
      </c>
      <c r="C4128">
        <v>7648876604</v>
      </c>
      <c r="D4128" s="2">
        <v>1</v>
      </c>
      <c r="E4128" t="str">
        <f>"4574674200840890"</f>
        <v>4574674200840890</v>
      </c>
      <c r="F4128" t="str">
        <f>"737"</f>
        <v>737</v>
      </c>
      <c r="G4128">
        <v>1</v>
      </c>
      <c r="H4128">
        <v>2023</v>
      </c>
      <c r="I4128" t="s">
        <v>4243</v>
      </c>
    </row>
    <row r="4129" spans="1:9" x14ac:dyDescent="0.3">
      <c r="A4129" t="s">
        <v>10119</v>
      </c>
      <c r="B4129" t="s">
        <v>11</v>
      </c>
      <c r="C4129">
        <v>7648876604</v>
      </c>
      <c r="D4129" s="2">
        <v>1</v>
      </c>
      <c r="E4129" t="str">
        <f>"4574674200841203"</f>
        <v>4574674200841203</v>
      </c>
      <c r="F4129" t="str">
        <f>"399"</f>
        <v>399</v>
      </c>
      <c r="G4129">
        <v>1</v>
      </c>
      <c r="H4129">
        <v>2023</v>
      </c>
      <c r="I4129" t="s">
        <v>4244</v>
      </c>
    </row>
    <row r="4130" spans="1:9" x14ac:dyDescent="0.3">
      <c r="A4130" t="s">
        <v>10119</v>
      </c>
      <c r="B4130" t="s">
        <v>11</v>
      </c>
      <c r="C4130">
        <v>7648876604</v>
      </c>
      <c r="D4130" s="2">
        <v>1</v>
      </c>
      <c r="E4130" t="str">
        <f>"4574674200840924"</f>
        <v>4574674200840924</v>
      </c>
      <c r="F4130" t="str">
        <f>"975"</f>
        <v>975</v>
      </c>
      <c r="G4130">
        <v>1</v>
      </c>
      <c r="H4130">
        <v>2023</v>
      </c>
      <c r="I4130" t="s">
        <v>4245</v>
      </c>
    </row>
    <row r="4131" spans="1:9" x14ac:dyDescent="0.3">
      <c r="A4131" t="s">
        <v>10119</v>
      </c>
      <c r="B4131" t="s">
        <v>11</v>
      </c>
      <c r="C4131">
        <v>7648876604</v>
      </c>
      <c r="D4131" s="2">
        <v>1</v>
      </c>
      <c r="E4131" t="str">
        <f>"4574674200840916"</f>
        <v>4574674200840916</v>
      </c>
      <c r="F4131" t="str">
        <f>"940"</f>
        <v>940</v>
      </c>
      <c r="G4131">
        <v>1</v>
      </c>
      <c r="H4131">
        <v>2023</v>
      </c>
      <c r="I4131" t="s">
        <v>4246</v>
      </c>
    </row>
    <row r="4132" spans="1:9" x14ac:dyDescent="0.3">
      <c r="A4132" t="s">
        <v>10119</v>
      </c>
      <c r="B4132" t="s">
        <v>11</v>
      </c>
      <c r="C4132">
        <v>7648876604</v>
      </c>
      <c r="D4132" s="2">
        <v>1</v>
      </c>
      <c r="E4132" t="str">
        <f>"4574674200841237"</f>
        <v>4574674200841237</v>
      </c>
      <c r="F4132" t="str">
        <f>"375"</f>
        <v>375</v>
      </c>
      <c r="G4132">
        <v>1</v>
      </c>
      <c r="H4132">
        <v>2023</v>
      </c>
      <c r="I4132" t="s">
        <v>4247</v>
      </c>
    </row>
    <row r="4133" spans="1:9" x14ac:dyDescent="0.3">
      <c r="A4133" t="s">
        <v>10119</v>
      </c>
      <c r="B4133" t="s">
        <v>11</v>
      </c>
      <c r="C4133">
        <v>7648876604</v>
      </c>
      <c r="D4133" s="2">
        <v>1</v>
      </c>
      <c r="E4133" t="str">
        <f>"4574674200840965"</f>
        <v>4574674200840965</v>
      </c>
      <c r="F4133" t="str">
        <f>"370"</f>
        <v>370</v>
      </c>
      <c r="G4133">
        <v>1</v>
      </c>
      <c r="H4133">
        <v>2023</v>
      </c>
      <c r="I4133" t="s">
        <v>4248</v>
      </c>
    </row>
    <row r="4134" spans="1:9" x14ac:dyDescent="0.3">
      <c r="A4134" t="s">
        <v>10119</v>
      </c>
      <c r="B4134" t="s">
        <v>11</v>
      </c>
      <c r="C4134">
        <v>7648876604</v>
      </c>
      <c r="D4134" s="2">
        <v>1</v>
      </c>
      <c r="E4134" t="str">
        <f>"4574674200840973"</f>
        <v>4574674200840973</v>
      </c>
      <c r="F4134" t="str">
        <f>"469"</f>
        <v>469</v>
      </c>
      <c r="G4134">
        <v>1</v>
      </c>
      <c r="H4134">
        <v>2023</v>
      </c>
      <c r="I4134" t="s">
        <v>4249</v>
      </c>
    </row>
    <row r="4135" spans="1:9" x14ac:dyDescent="0.3">
      <c r="A4135" t="s">
        <v>10119</v>
      </c>
      <c r="B4135" t="s">
        <v>11</v>
      </c>
      <c r="C4135">
        <v>7648876604</v>
      </c>
      <c r="D4135" s="2">
        <v>1</v>
      </c>
      <c r="E4135" t="str">
        <f>"4574674200841393"</f>
        <v>4574674200841393</v>
      </c>
      <c r="F4135" t="str">
        <f>"289"</f>
        <v>289</v>
      </c>
      <c r="G4135">
        <v>1</v>
      </c>
      <c r="H4135">
        <v>2023</v>
      </c>
      <c r="I4135" t="s">
        <v>4250</v>
      </c>
    </row>
    <row r="4136" spans="1:9" x14ac:dyDescent="0.3">
      <c r="A4136" t="s">
        <v>10119</v>
      </c>
      <c r="B4136" t="s">
        <v>11</v>
      </c>
      <c r="C4136">
        <v>7648876604</v>
      </c>
      <c r="D4136" s="2">
        <v>1</v>
      </c>
      <c r="E4136" t="str">
        <f>"4574674200841435"</f>
        <v>4574674200841435</v>
      </c>
      <c r="F4136" t="str">
        <f>"903"</f>
        <v>903</v>
      </c>
      <c r="G4136">
        <v>1</v>
      </c>
      <c r="H4136">
        <v>2023</v>
      </c>
      <c r="I4136" t="s">
        <v>4251</v>
      </c>
    </row>
    <row r="4137" spans="1:9" x14ac:dyDescent="0.3">
      <c r="A4137" t="s">
        <v>10119</v>
      </c>
      <c r="B4137" t="s">
        <v>11</v>
      </c>
      <c r="C4137">
        <v>7648876604</v>
      </c>
      <c r="D4137" s="2">
        <v>1</v>
      </c>
      <c r="E4137" t="str">
        <f>"4574674200841625"</f>
        <v>4574674200841625</v>
      </c>
      <c r="F4137" t="str">
        <f>"772"</f>
        <v>772</v>
      </c>
      <c r="G4137">
        <v>1</v>
      </c>
      <c r="H4137">
        <v>2023</v>
      </c>
      <c r="I4137" t="s">
        <v>4252</v>
      </c>
    </row>
    <row r="4138" spans="1:9" x14ac:dyDescent="0.3">
      <c r="A4138" t="s">
        <v>10119</v>
      </c>
      <c r="B4138" t="s">
        <v>11</v>
      </c>
      <c r="C4138">
        <v>7648876604</v>
      </c>
      <c r="D4138" s="2">
        <v>1</v>
      </c>
      <c r="E4138" t="str">
        <f>"4574674200841633"</f>
        <v>4574674200841633</v>
      </c>
      <c r="F4138" t="str">
        <f>"629"</f>
        <v>629</v>
      </c>
      <c r="G4138">
        <v>1</v>
      </c>
      <c r="H4138">
        <v>2023</v>
      </c>
      <c r="I4138" t="s">
        <v>4253</v>
      </c>
    </row>
    <row r="4139" spans="1:9" x14ac:dyDescent="0.3">
      <c r="A4139" t="s">
        <v>10120</v>
      </c>
      <c r="B4139" t="s">
        <v>12</v>
      </c>
      <c r="C4139">
        <v>7648876604</v>
      </c>
      <c r="D4139" s="2">
        <v>1</v>
      </c>
      <c r="E4139" t="str">
        <f>"4574674200841641"</f>
        <v>4574674200841641</v>
      </c>
      <c r="F4139" t="str">
        <f>"400"</f>
        <v>400</v>
      </c>
      <c r="G4139">
        <v>1</v>
      </c>
      <c r="H4139">
        <v>2023</v>
      </c>
      <c r="I4139" t="s">
        <v>4254</v>
      </c>
    </row>
    <row r="4140" spans="1:9" x14ac:dyDescent="0.3">
      <c r="A4140" t="s">
        <v>10120</v>
      </c>
      <c r="B4140" t="s">
        <v>12</v>
      </c>
      <c r="C4140">
        <v>7648876604</v>
      </c>
      <c r="D4140" s="2">
        <v>1</v>
      </c>
      <c r="E4140" t="str">
        <f>"4574674200841674"</f>
        <v>4574674200841674</v>
      </c>
      <c r="F4140" t="str">
        <f>"992"</f>
        <v>992</v>
      </c>
      <c r="G4140">
        <v>1</v>
      </c>
      <c r="H4140">
        <v>2023</v>
      </c>
      <c r="I4140" t="s">
        <v>4255</v>
      </c>
    </row>
    <row r="4141" spans="1:9" x14ac:dyDescent="0.3">
      <c r="A4141" t="s">
        <v>10120</v>
      </c>
      <c r="B4141" t="s">
        <v>12</v>
      </c>
      <c r="C4141">
        <v>7648876604</v>
      </c>
      <c r="D4141" s="2">
        <v>1</v>
      </c>
      <c r="E4141" t="str">
        <f>"4574674200841591"</f>
        <v>4574674200841591</v>
      </c>
      <c r="F4141" t="str">
        <f>"060"</f>
        <v>060</v>
      </c>
      <c r="G4141">
        <v>1</v>
      </c>
      <c r="H4141">
        <v>2023</v>
      </c>
      <c r="I4141" t="s">
        <v>4256</v>
      </c>
    </row>
    <row r="4142" spans="1:9" x14ac:dyDescent="0.3">
      <c r="A4142" t="s">
        <v>10120</v>
      </c>
      <c r="B4142" t="s">
        <v>12</v>
      </c>
      <c r="C4142">
        <v>7648876604</v>
      </c>
      <c r="D4142" s="2">
        <v>1</v>
      </c>
      <c r="E4142" t="str">
        <f>"4574674200841690"</f>
        <v>4574674200841690</v>
      </c>
      <c r="F4142" t="str">
        <f>"808"</f>
        <v>808</v>
      </c>
      <c r="G4142">
        <v>1</v>
      </c>
      <c r="H4142">
        <v>2023</v>
      </c>
      <c r="I4142" t="s">
        <v>4257</v>
      </c>
    </row>
    <row r="4143" spans="1:9" x14ac:dyDescent="0.3">
      <c r="A4143" t="s">
        <v>10120</v>
      </c>
      <c r="B4143" t="s">
        <v>12</v>
      </c>
      <c r="C4143">
        <v>7648876604</v>
      </c>
      <c r="D4143" s="2">
        <v>1</v>
      </c>
      <c r="E4143" t="str">
        <f>"4574674200841807"</f>
        <v>4574674200841807</v>
      </c>
      <c r="F4143" t="str">
        <f>"493"</f>
        <v>493</v>
      </c>
      <c r="G4143">
        <v>1</v>
      </c>
      <c r="H4143">
        <v>2023</v>
      </c>
      <c r="I4143" t="s">
        <v>4258</v>
      </c>
    </row>
    <row r="4144" spans="1:9" x14ac:dyDescent="0.3">
      <c r="A4144" t="s">
        <v>10120</v>
      </c>
      <c r="B4144" t="s">
        <v>12</v>
      </c>
      <c r="C4144">
        <v>7648876604</v>
      </c>
      <c r="D4144" s="2">
        <v>1</v>
      </c>
      <c r="E4144" t="str">
        <f>"4574674200841740"</f>
        <v>4574674200841740</v>
      </c>
      <c r="F4144" t="str">
        <f>"372"</f>
        <v>372</v>
      </c>
      <c r="G4144">
        <v>1</v>
      </c>
      <c r="H4144">
        <v>2023</v>
      </c>
      <c r="I4144" t="s">
        <v>4259</v>
      </c>
    </row>
    <row r="4145" spans="1:9" x14ac:dyDescent="0.3">
      <c r="A4145" t="s">
        <v>10120</v>
      </c>
      <c r="B4145" t="s">
        <v>12</v>
      </c>
      <c r="C4145">
        <v>7648876604</v>
      </c>
      <c r="D4145" s="2">
        <v>1</v>
      </c>
      <c r="E4145" t="str">
        <f>"4574674200841732"</f>
        <v>4574674200841732</v>
      </c>
      <c r="F4145" t="str">
        <f>"156"</f>
        <v>156</v>
      </c>
      <c r="G4145">
        <v>1</v>
      </c>
      <c r="H4145">
        <v>2023</v>
      </c>
      <c r="I4145" t="s">
        <v>4260</v>
      </c>
    </row>
    <row r="4146" spans="1:9" x14ac:dyDescent="0.3">
      <c r="A4146" t="s">
        <v>10120</v>
      </c>
      <c r="B4146" t="s">
        <v>12</v>
      </c>
      <c r="C4146">
        <v>7648876604</v>
      </c>
      <c r="D4146" s="2">
        <v>1</v>
      </c>
      <c r="E4146" t="str">
        <f>"4574674200841765"</f>
        <v>4574674200841765</v>
      </c>
      <c r="F4146" t="str">
        <f>"404"</f>
        <v>404</v>
      </c>
      <c r="G4146">
        <v>1</v>
      </c>
      <c r="H4146">
        <v>2023</v>
      </c>
      <c r="I4146" t="s">
        <v>4261</v>
      </c>
    </row>
    <row r="4147" spans="1:9" x14ac:dyDescent="0.3">
      <c r="A4147" t="s">
        <v>10120</v>
      </c>
      <c r="B4147" t="s">
        <v>12</v>
      </c>
      <c r="C4147">
        <v>7648876604</v>
      </c>
      <c r="D4147" s="2">
        <v>1</v>
      </c>
      <c r="E4147" t="str">
        <f>"4574674200841914"</f>
        <v>4574674200841914</v>
      </c>
      <c r="F4147" t="str">
        <f>"624"</f>
        <v>624</v>
      </c>
      <c r="G4147">
        <v>1</v>
      </c>
      <c r="H4147">
        <v>2023</v>
      </c>
      <c r="I4147" t="s">
        <v>4262</v>
      </c>
    </row>
    <row r="4148" spans="1:9" x14ac:dyDescent="0.3">
      <c r="A4148" t="s">
        <v>10120</v>
      </c>
      <c r="B4148" t="s">
        <v>12</v>
      </c>
      <c r="C4148">
        <v>7648876604</v>
      </c>
      <c r="D4148" s="2">
        <v>1</v>
      </c>
      <c r="E4148" t="str">
        <f>"4574674200841971"</f>
        <v>4574674200841971</v>
      </c>
      <c r="F4148" t="str">
        <f>"866"</f>
        <v>866</v>
      </c>
      <c r="G4148">
        <v>1</v>
      </c>
      <c r="H4148">
        <v>2023</v>
      </c>
      <c r="I4148" t="s">
        <v>4263</v>
      </c>
    </row>
    <row r="4149" spans="1:9" x14ac:dyDescent="0.3">
      <c r="A4149" t="s">
        <v>10121</v>
      </c>
      <c r="B4149" t="s">
        <v>13</v>
      </c>
      <c r="C4149">
        <v>7648876604</v>
      </c>
      <c r="D4149" s="2">
        <v>1</v>
      </c>
      <c r="E4149" t="str">
        <f>"4574674200842219"</f>
        <v>4574674200842219</v>
      </c>
      <c r="F4149" t="str">
        <f>"956"</f>
        <v>956</v>
      </c>
      <c r="G4149">
        <v>1</v>
      </c>
      <c r="H4149">
        <v>2023</v>
      </c>
      <c r="I4149" t="s">
        <v>4264</v>
      </c>
    </row>
    <row r="4150" spans="1:9" x14ac:dyDescent="0.3">
      <c r="A4150" t="s">
        <v>10121</v>
      </c>
      <c r="B4150" t="s">
        <v>13</v>
      </c>
      <c r="C4150">
        <v>7648876604</v>
      </c>
      <c r="D4150" s="2">
        <v>1</v>
      </c>
      <c r="E4150" t="str">
        <f>"4574674200842227"</f>
        <v>4574674200842227</v>
      </c>
      <c r="F4150" t="str">
        <f>"907"</f>
        <v>907</v>
      </c>
      <c r="G4150">
        <v>1</v>
      </c>
      <c r="H4150">
        <v>2023</v>
      </c>
      <c r="I4150" t="s">
        <v>4265</v>
      </c>
    </row>
    <row r="4151" spans="1:9" x14ac:dyDescent="0.3">
      <c r="A4151" t="s">
        <v>10121</v>
      </c>
      <c r="B4151" t="s">
        <v>13</v>
      </c>
      <c r="C4151">
        <v>7648876604</v>
      </c>
      <c r="D4151" s="2">
        <v>1</v>
      </c>
      <c r="E4151" t="str">
        <f>"4574674200842078"</f>
        <v>4574674200842078</v>
      </c>
      <c r="F4151" t="str">
        <f>"617"</f>
        <v>617</v>
      </c>
      <c r="G4151">
        <v>1</v>
      </c>
      <c r="H4151">
        <v>2023</v>
      </c>
      <c r="I4151" t="s">
        <v>4266</v>
      </c>
    </row>
    <row r="4152" spans="1:9" x14ac:dyDescent="0.3">
      <c r="A4152" t="s">
        <v>10121</v>
      </c>
      <c r="B4152" t="s">
        <v>13</v>
      </c>
      <c r="C4152">
        <v>7648876604</v>
      </c>
      <c r="D4152" s="2">
        <v>1</v>
      </c>
      <c r="E4152" t="str">
        <f>"4574674200842268"</f>
        <v>4574674200842268</v>
      </c>
      <c r="F4152" t="str">
        <f>"210"</f>
        <v>210</v>
      </c>
      <c r="G4152">
        <v>1</v>
      </c>
      <c r="H4152">
        <v>2023</v>
      </c>
      <c r="I4152" t="s">
        <v>4267</v>
      </c>
    </row>
    <row r="4153" spans="1:9" x14ac:dyDescent="0.3">
      <c r="A4153" t="s">
        <v>10121</v>
      </c>
      <c r="B4153" t="s">
        <v>13</v>
      </c>
      <c r="C4153">
        <v>7648876604</v>
      </c>
      <c r="D4153" s="2">
        <v>1</v>
      </c>
      <c r="E4153" t="str">
        <f>"4574674200842169"</f>
        <v>4574674200842169</v>
      </c>
      <c r="F4153" t="str">
        <f>"481"</f>
        <v>481</v>
      </c>
      <c r="G4153">
        <v>1</v>
      </c>
      <c r="H4153">
        <v>2023</v>
      </c>
      <c r="I4153" t="s">
        <v>4268</v>
      </c>
    </row>
    <row r="4154" spans="1:9" x14ac:dyDescent="0.3">
      <c r="A4154" t="s">
        <v>10121</v>
      </c>
      <c r="B4154" t="s">
        <v>13</v>
      </c>
      <c r="C4154">
        <v>7648876604</v>
      </c>
      <c r="D4154" s="2">
        <v>1</v>
      </c>
      <c r="E4154" t="str">
        <f>"4574674200842284"</f>
        <v>4574674200842284</v>
      </c>
      <c r="F4154" t="str">
        <f>"003"</f>
        <v>003</v>
      </c>
      <c r="G4154">
        <v>1</v>
      </c>
      <c r="H4154">
        <v>2023</v>
      </c>
      <c r="I4154" t="s">
        <v>4269</v>
      </c>
    </row>
    <row r="4155" spans="1:9" x14ac:dyDescent="0.3">
      <c r="A4155" t="s">
        <v>10121</v>
      </c>
      <c r="B4155" t="s">
        <v>13</v>
      </c>
      <c r="C4155">
        <v>7648876604</v>
      </c>
      <c r="D4155" s="2">
        <v>1</v>
      </c>
      <c r="E4155" t="str">
        <f>"4574674200842276"</f>
        <v>4574674200842276</v>
      </c>
      <c r="F4155" t="str">
        <f>"848"</f>
        <v>848</v>
      </c>
      <c r="G4155">
        <v>1</v>
      </c>
      <c r="H4155">
        <v>2023</v>
      </c>
      <c r="I4155" t="s">
        <v>4270</v>
      </c>
    </row>
    <row r="4156" spans="1:9" x14ac:dyDescent="0.3">
      <c r="A4156" t="s">
        <v>10121</v>
      </c>
      <c r="B4156" t="s">
        <v>13</v>
      </c>
      <c r="C4156">
        <v>7648876604</v>
      </c>
      <c r="D4156" s="2">
        <v>1</v>
      </c>
      <c r="E4156" t="str">
        <f>"4574674200842334"</f>
        <v>4574674200842334</v>
      </c>
      <c r="F4156" t="str">
        <f>"452"</f>
        <v>452</v>
      </c>
      <c r="G4156">
        <v>1</v>
      </c>
      <c r="H4156">
        <v>2023</v>
      </c>
      <c r="I4156" t="s">
        <v>4271</v>
      </c>
    </row>
    <row r="4157" spans="1:9" x14ac:dyDescent="0.3">
      <c r="A4157" t="s">
        <v>10121</v>
      </c>
      <c r="B4157" t="s">
        <v>13</v>
      </c>
      <c r="C4157">
        <v>7648876604</v>
      </c>
      <c r="D4157" s="2">
        <v>1</v>
      </c>
      <c r="E4157" t="str">
        <f>"4574674200842359"</f>
        <v>4574674200842359</v>
      </c>
      <c r="F4157" t="str">
        <f>"429"</f>
        <v>429</v>
      </c>
      <c r="G4157">
        <v>1</v>
      </c>
      <c r="H4157">
        <v>2023</v>
      </c>
      <c r="I4157" t="s">
        <v>4272</v>
      </c>
    </row>
    <row r="4158" spans="1:9" x14ac:dyDescent="0.3">
      <c r="A4158" t="s">
        <v>10121</v>
      </c>
      <c r="B4158" t="s">
        <v>13</v>
      </c>
      <c r="C4158">
        <v>7648876604</v>
      </c>
      <c r="D4158" s="2">
        <v>1</v>
      </c>
      <c r="E4158" t="str">
        <f>"4574674200842458"</f>
        <v>4574674200842458</v>
      </c>
      <c r="F4158" t="str">
        <f>"933"</f>
        <v>933</v>
      </c>
      <c r="G4158">
        <v>1</v>
      </c>
      <c r="H4158">
        <v>2023</v>
      </c>
      <c r="I4158" t="s">
        <v>4273</v>
      </c>
    </row>
    <row r="4159" spans="1:9" x14ac:dyDescent="0.3">
      <c r="A4159" t="s">
        <v>10122</v>
      </c>
      <c r="B4159" t="s">
        <v>14</v>
      </c>
      <c r="C4159">
        <v>7648876604</v>
      </c>
      <c r="D4159" s="2">
        <v>1</v>
      </c>
      <c r="E4159" t="str">
        <f>"4574674200842516"</f>
        <v>4574674200842516</v>
      </c>
      <c r="F4159" t="str">
        <f>"954"</f>
        <v>954</v>
      </c>
      <c r="G4159">
        <v>1</v>
      </c>
      <c r="H4159">
        <v>2023</v>
      </c>
      <c r="I4159" t="s">
        <v>4274</v>
      </c>
    </row>
    <row r="4160" spans="1:9" x14ac:dyDescent="0.3">
      <c r="A4160" t="s">
        <v>10122</v>
      </c>
      <c r="B4160" t="s">
        <v>14</v>
      </c>
      <c r="C4160">
        <v>7648876604</v>
      </c>
      <c r="D4160" s="2">
        <v>1</v>
      </c>
      <c r="E4160" t="str">
        <f>"4574674200842607"</f>
        <v>4574674200842607</v>
      </c>
      <c r="F4160" t="str">
        <f>"630"</f>
        <v>630</v>
      </c>
      <c r="G4160">
        <v>1</v>
      </c>
      <c r="H4160">
        <v>2023</v>
      </c>
      <c r="I4160" t="s">
        <v>4275</v>
      </c>
    </row>
    <row r="4161" spans="1:9" x14ac:dyDescent="0.3">
      <c r="A4161" t="s">
        <v>10122</v>
      </c>
      <c r="B4161" t="s">
        <v>14</v>
      </c>
      <c r="C4161">
        <v>7648876604</v>
      </c>
      <c r="D4161" s="2">
        <v>1</v>
      </c>
      <c r="E4161" t="str">
        <f>"4574674200842383"</f>
        <v>4574674200842383</v>
      </c>
      <c r="F4161" t="str">
        <f>"717"</f>
        <v>717</v>
      </c>
      <c r="G4161">
        <v>1</v>
      </c>
      <c r="H4161">
        <v>2023</v>
      </c>
      <c r="I4161" t="s">
        <v>4276</v>
      </c>
    </row>
    <row r="4162" spans="1:9" x14ac:dyDescent="0.3">
      <c r="A4162" t="s">
        <v>10122</v>
      </c>
      <c r="B4162" t="s">
        <v>14</v>
      </c>
      <c r="C4162">
        <v>7648876604</v>
      </c>
      <c r="D4162" s="2">
        <v>1</v>
      </c>
      <c r="E4162" t="str">
        <f>"4574674200842391"</f>
        <v>4574674200842391</v>
      </c>
      <c r="F4162" t="str">
        <f>"776"</f>
        <v>776</v>
      </c>
      <c r="G4162">
        <v>1</v>
      </c>
      <c r="H4162">
        <v>2023</v>
      </c>
      <c r="I4162" t="s">
        <v>4277</v>
      </c>
    </row>
    <row r="4163" spans="1:9" x14ac:dyDescent="0.3">
      <c r="A4163" t="s">
        <v>10122</v>
      </c>
      <c r="B4163" t="s">
        <v>14</v>
      </c>
      <c r="C4163">
        <v>7648876604</v>
      </c>
      <c r="D4163" s="2">
        <v>1</v>
      </c>
      <c r="E4163" t="str">
        <f>"4574674200842839"</f>
        <v>4574674200842839</v>
      </c>
      <c r="F4163" t="str">
        <f>"414"</f>
        <v>414</v>
      </c>
      <c r="G4163">
        <v>1</v>
      </c>
      <c r="H4163">
        <v>2023</v>
      </c>
      <c r="I4163" t="s">
        <v>4278</v>
      </c>
    </row>
    <row r="4164" spans="1:9" x14ac:dyDescent="0.3">
      <c r="A4164" t="s">
        <v>10122</v>
      </c>
      <c r="B4164" t="s">
        <v>14</v>
      </c>
      <c r="C4164">
        <v>7648876604</v>
      </c>
      <c r="D4164" s="2">
        <v>1</v>
      </c>
      <c r="E4164" t="str">
        <f>"4574674200842664"</f>
        <v>4574674200842664</v>
      </c>
      <c r="F4164" t="str">
        <f>"230"</f>
        <v>230</v>
      </c>
      <c r="G4164">
        <v>1</v>
      </c>
      <c r="H4164">
        <v>2023</v>
      </c>
      <c r="I4164" t="s">
        <v>4279</v>
      </c>
    </row>
    <row r="4165" spans="1:9" x14ac:dyDescent="0.3">
      <c r="A4165" t="s">
        <v>10122</v>
      </c>
      <c r="B4165" t="s">
        <v>14</v>
      </c>
      <c r="C4165">
        <v>7648876604</v>
      </c>
      <c r="D4165" s="2">
        <v>1</v>
      </c>
      <c r="E4165" t="str">
        <f>"4574674200842672"</f>
        <v>4574674200842672</v>
      </c>
      <c r="F4165" t="str">
        <f>"835"</f>
        <v>835</v>
      </c>
      <c r="G4165">
        <v>1</v>
      </c>
      <c r="H4165">
        <v>2023</v>
      </c>
      <c r="I4165" t="s">
        <v>4280</v>
      </c>
    </row>
    <row r="4166" spans="1:9" x14ac:dyDescent="0.3">
      <c r="A4166" t="s">
        <v>10122</v>
      </c>
      <c r="B4166" t="s">
        <v>14</v>
      </c>
      <c r="C4166">
        <v>7648876604</v>
      </c>
      <c r="D4166" s="2">
        <v>1</v>
      </c>
      <c r="E4166" t="str">
        <f>"4574674200842912"</f>
        <v>4574674200842912</v>
      </c>
      <c r="F4166" t="str">
        <f>"388"</f>
        <v>388</v>
      </c>
      <c r="G4166">
        <v>1</v>
      </c>
      <c r="H4166">
        <v>2023</v>
      </c>
      <c r="I4166" t="s">
        <v>4281</v>
      </c>
    </row>
    <row r="4167" spans="1:9" x14ac:dyDescent="0.3">
      <c r="A4167" t="s">
        <v>10122</v>
      </c>
      <c r="B4167" t="s">
        <v>14</v>
      </c>
      <c r="C4167">
        <v>7648876604</v>
      </c>
      <c r="D4167" s="2">
        <v>1</v>
      </c>
      <c r="E4167" t="str">
        <f>"4574674200842953"</f>
        <v>4574674200842953</v>
      </c>
      <c r="F4167" t="str">
        <f>"705"</f>
        <v>705</v>
      </c>
      <c r="G4167">
        <v>1</v>
      </c>
      <c r="H4167">
        <v>2023</v>
      </c>
      <c r="I4167" t="s">
        <v>4282</v>
      </c>
    </row>
    <row r="4168" spans="1:9" x14ac:dyDescent="0.3">
      <c r="A4168" t="s">
        <v>10122</v>
      </c>
      <c r="B4168" t="s">
        <v>14</v>
      </c>
      <c r="C4168">
        <v>7648876604</v>
      </c>
      <c r="D4168" s="2">
        <v>1</v>
      </c>
      <c r="E4168" t="str">
        <f>"4574674200842706"</f>
        <v>4574674200842706</v>
      </c>
      <c r="F4168" t="str">
        <f>"669"</f>
        <v>669</v>
      </c>
      <c r="G4168">
        <v>1</v>
      </c>
      <c r="H4168">
        <v>2023</v>
      </c>
      <c r="I4168" t="s">
        <v>4283</v>
      </c>
    </row>
    <row r="4169" spans="1:9" x14ac:dyDescent="0.3">
      <c r="A4169" t="s">
        <v>10123</v>
      </c>
      <c r="B4169" t="s">
        <v>15</v>
      </c>
      <c r="C4169">
        <v>7648876604</v>
      </c>
      <c r="D4169" s="2">
        <v>1</v>
      </c>
      <c r="E4169" t="str">
        <f>"4574674200842714"</f>
        <v>4574674200842714</v>
      </c>
      <c r="F4169" t="str">
        <f>"388"</f>
        <v>388</v>
      </c>
      <c r="G4169">
        <v>1</v>
      </c>
      <c r="H4169">
        <v>2023</v>
      </c>
      <c r="I4169" t="s">
        <v>4284</v>
      </c>
    </row>
    <row r="4170" spans="1:9" x14ac:dyDescent="0.3">
      <c r="A4170" t="s">
        <v>10123</v>
      </c>
      <c r="B4170" t="s">
        <v>15</v>
      </c>
      <c r="C4170">
        <v>7648876604</v>
      </c>
      <c r="D4170" s="2">
        <v>1</v>
      </c>
      <c r="E4170" t="str">
        <f>"4574674200842722"</f>
        <v>4574674200842722</v>
      </c>
      <c r="F4170" t="str">
        <f>"421"</f>
        <v>421</v>
      </c>
      <c r="G4170">
        <v>1</v>
      </c>
      <c r="H4170">
        <v>2023</v>
      </c>
      <c r="I4170" t="s">
        <v>4285</v>
      </c>
    </row>
    <row r="4171" spans="1:9" x14ac:dyDescent="0.3">
      <c r="A4171" t="s">
        <v>10123</v>
      </c>
      <c r="B4171" t="s">
        <v>15</v>
      </c>
      <c r="C4171">
        <v>7648876604</v>
      </c>
      <c r="D4171" s="2">
        <v>1</v>
      </c>
      <c r="E4171" t="str">
        <f>"4574674200842730"</f>
        <v>4574674200842730</v>
      </c>
      <c r="F4171" t="str">
        <f>"163"</f>
        <v>163</v>
      </c>
      <c r="G4171">
        <v>1</v>
      </c>
      <c r="H4171">
        <v>2023</v>
      </c>
      <c r="I4171" t="s">
        <v>4286</v>
      </c>
    </row>
    <row r="4172" spans="1:9" x14ac:dyDescent="0.3">
      <c r="A4172" t="s">
        <v>10123</v>
      </c>
      <c r="B4172" t="s">
        <v>15</v>
      </c>
      <c r="C4172">
        <v>7648876604</v>
      </c>
      <c r="D4172" s="2">
        <v>1</v>
      </c>
      <c r="E4172" t="str">
        <f>"4574674200842789"</f>
        <v>4574674200842789</v>
      </c>
      <c r="F4172" t="str">
        <f>"750"</f>
        <v>750</v>
      </c>
      <c r="G4172">
        <v>1</v>
      </c>
      <c r="H4172">
        <v>2023</v>
      </c>
      <c r="I4172" t="s">
        <v>4287</v>
      </c>
    </row>
    <row r="4173" spans="1:9" x14ac:dyDescent="0.3">
      <c r="A4173" t="s">
        <v>10123</v>
      </c>
      <c r="B4173" t="s">
        <v>15</v>
      </c>
      <c r="C4173">
        <v>7648876604</v>
      </c>
      <c r="D4173" s="2">
        <v>1</v>
      </c>
      <c r="E4173" t="str">
        <f>"4574674200843084"</f>
        <v>4574674200843084</v>
      </c>
      <c r="F4173" t="str">
        <f>"883"</f>
        <v>883</v>
      </c>
      <c r="G4173">
        <v>1</v>
      </c>
      <c r="H4173">
        <v>2023</v>
      </c>
      <c r="I4173" t="s">
        <v>4288</v>
      </c>
    </row>
    <row r="4174" spans="1:9" x14ac:dyDescent="0.3">
      <c r="A4174" t="s">
        <v>10123</v>
      </c>
      <c r="B4174" t="s">
        <v>15</v>
      </c>
      <c r="C4174">
        <v>7648876604</v>
      </c>
      <c r="D4174" s="2">
        <v>1</v>
      </c>
      <c r="E4174" t="str">
        <f>"4574674200843118"</f>
        <v>4574674200843118</v>
      </c>
      <c r="F4174" t="str">
        <f>"025"</f>
        <v>025</v>
      </c>
      <c r="G4174">
        <v>1</v>
      </c>
      <c r="H4174">
        <v>2023</v>
      </c>
      <c r="I4174" t="s">
        <v>4289</v>
      </c>
    </row>
    <row r="4175" spans="1:9" x14ac:dyDescent="0.3">
      <c r="A4175" t="s">
        <v>10123</v>
      </c>
      <c r="B4175" t="s">
        <v>15</v>
      </c>
      <c r="C4175">
        <v>7648876604</v>
      </c>
      <c r="D4175" s="2">
        <v>1</v>
      </c>
      <c r="E4175" t="str">
        <f>"4574674200843225"</f>
        <v>4574674200843225</v>
      </c>
      <c r="F4175" t="str">
        <f>"183"</f>
        <v>183</v>
      </c>
      <c r="G4175">
        <v>1</v>
      </c>
      <c r="H4175">
        <v>2023</v>
      </c>
      <c r="I4175" t="s">
        <v>4290</v>
      </c>
    </row>
    <row r="4176" spans="1:9" x14ac:dyDescent="0.3">
      <c r="A4176" t="s">
        <v>10123</v>
      </c>
      <c r="B4176" t="s">
        <v>15</v>
      </c>
      <c r="C4176">
        <v>7648876604</v>
      </c>
      <c r="D4176" s="2">
        <v>1</v>
      </c>
      <c r="E4176" t="str">
        <f>"4574674200843233"</f>
        <v>4574674200843233</v>
      </c>
      <c r="F4176" t="str">
        <f>"982"</f>
        <v>982</v>
      </c>
      <c r="G4176">
        <v>1</v>
      </c>
      <c r="H4176">
        <v>2023</v>
      </c>
      <c r="I4176" t="s">
        <v>4291</v>
      </c>
    </row>
    <row r="4177" spans="1:9" x14ac:dyDescent="0.3">
      <c r="A4177" t="s">
        <v>10123</v>
      </c>
      <c r="B4177" t="s">
        <v>15</v>
      </c>
      <c r="C4177">
        <v>7648876604</v>
      </c>
      <c r="D4177" s="2">
        <v>1</v>
      </c>
      <c r="E4177" t="str">
        <f>"4574674200843241"</f>
        <v>4574674200843241</v>
      </c>
      <c r="F4177" t="str">
        <f>"300"</f>
        <v>300</v>
      </c>
      <c r="G4177">
        <v>1</v>
      </c>
      <c r="H4177">
        <v>2023</v>
      </c>
      <c r="I4177" t="s">
        <v>4292</v>
      </c>
    </row>
    <row r="4178" spans="1:9" x14ac:dyDescent="0.3">
      <c r="A4178" t="s">
        <v>10123</v>
      </c>
      <c r="B4178" t="s">
        <v>15</v>
      </c>
      <c r="C4178">
        <v>7648876604</v>
      </c>
      <c r="D4178" s="2">
        <v>1</v>
      </c>
      <c r="E4178" t="str">
        <f>"4574674200843431"</f>
        <v>4574674200843431</v>
      </c>
      <c r="F4178" t="str">
        <f>"634"</f>
        <v>634</v>
      </c>
      <c r="G4178">
        <v>1</v>
      </c>
      <c r="H4178">
        <v>2023</v>
      </c>
      <c r="I4178" t="s">
        <v>4293</v>
      </c>
    </row>
    <row r="4179" spans="1:9" x14ac:dyDescent="0.3">
      <c r="A4179" t="s">
        <v>10124</v>
      </c>
      <c r="B4179" t="s">
        <v>16</v>
      </c>
      <c r="C4179">
        <v>7648876604</v>
      </c>
      <c r="D4179" s="2">
        <v>1</v>
      </c>
      <c r="E4179" t="str">
        <f>"4574674200843464"</f>
        <v>4574674200843464</v>
      </c>
      <c r="F4179" t="str">
        <f>"911"</f>
        <v>911</v>
      </c>
      <c r="G4179">
        <v>1</v>
      </c>
      <c r="H4179">
        <v>2023</v>
      </c>
      <c r="I4179" t="s">
        <v>4294</v>
      </c>
    </row>
    <row r="4180" spans="1:9" x14ac:dyDescent="0.3">
      <c r="A4180" t="s">
        <v>10124</v>
      </c>
      <c r="B4180" t="s">
        <v>16</v>
      </c>
      <c r="C4180">
        <v>7648876604</v>
      </c>
      <c r="D4180" s="2">
        <v>1</v>
      </c>
      <c r="E4180" t="str">
        <f>"4574674200843274"</f>
        <v>4574674200843274</v>
      </c>
      <c r="F4180" t="str">
        <f>"387"</f>
        <v>387</v>
      </c>
      <c r="G4180">
        <v>1</v>
      </c>
      <c r="H4180">
        <v>2023</v>
      </c>
      <c r="I4180" t="s">
        <v>4295</v>
      </c>
    </row>
    <row r="4181" spans="1:9" x14ac:dyDescent="0.3">
      <c r="A4181" t="s">
        <v>10124</v>
      </c>
      <c r="B4181" t="s">
        <v>16</v>
      </c>
      <c r="C4181">
        <v>7648876604</v>
      </c>
      <c r="D4181" s="2">
        <v>1</v>
      </c>
      <c r="E4181" t="str">
        <f>"4574674200843282"</f>
        <v>4574674200843282</v>
      </c>
      <c r="F4181" t="str">
        <f>"745"</f>
        <v>745</v>
      </c>
      <c r="G4181">
        <v>1</v>
      </c>
      <c r="H4181">
        <v>2023</v>
      </c>
      <c r="I4181" t="s">
        <v>4296</v>
      </c>
    </row>
    <row r="4182" spans="1:9" x14ac:dyDescent="0.3">
      <c r="A4182" t="s">
        <v>10124</v>
      </c>
      <c r="B4182" t="s">
        <v>16</v>
      </c>
      <c r="C4182">
        <v>7648876604</v>
      </c>
      <c r="D4182" s="2">
        <v>1</v>
      </c>
      <c r="E4182" t="str">
        <f>"4574674200843597"</f>
        <v>4574674200843597</v>
      </c>
      <c r="F4182" t="str">
        <f>"837"</f>
        <v>837</v>
      </c>
      <c r="G4182">
        <v>1</v>
      </c>
      <c r="H4182">
        <v>2023</v>
      </c>
      <c r="I4182" t="s">
        <v>4297</v>
      </c>
    </row>
    <row r="4183" spans="1:9" x14ac:dyDescent="0.3">
      <c r="A4183" t="s">
        <v>10124</v>
      </c>
      <c r="B4183" t="s">
        <v>16</v>
      </c>
      <c r="C4183">
        <v>7648876604</v>
      </c>
      <c r="D4183" s="2">
        <v>1</v>
      </c>
      <c r="E4183" t="str">
        <f>"4574674200843639"</f>
        <v>4574674200843639</v>
      </c>
      <c r="F4183" t="str">
        <f>"566"</f>
        <v>566</v>
      </c>
      <c r="G4183">
        <v>1</v>
      </c>
      <c r="H4183">
        <v>2023</v>
      </c>
      <c r="I4183" t="s">
        <v>4298</v>
      </c>
    </row>
    <row r="4184" spans="1:9" x14ac:dyDescent="0.3">
      <c r="A4184" t="s">
        <v>10124</v>
      </c>
      <c r="B4184" t="s">
        <v>16</v>
      </c>
      <c r="C4184">
        <v>7648876604</v>
      </c>
      <c r="D4184" s="2">
        <v>1</v>
      </c>
      <c r="E4184" t="str">
        <f>"4574674200843340"</f>
        <v>4574674200843340</v>
      </c>
      <c r="F4184" t="str">
        <f>"412"</f>
        <v>412</v>
      </c>
      <c r="G4184">
        <v>1</v>
      </c>
      <c r="H4184">
        <v>2023</v>
      </c>
      <c r="I4184" t="s">
        <v>4299</v>
      </c>
    </row>
    <row r="4185" spans="1:9" x14ac:dyDescent="0.3">
      <c r="A4185" t="s">
        <v>10124</v>
      </c>
      <c r="B4185" t="s">
        <v>16</v>
      </c>
      <c r="C4185">
        <v>7648876604</v>
      </c>
      <c r="D4185" s="2">
        <v>1</v>
      </c>
      <c r="E4185" t="str">
        <f>"4574674200843357"</f>
        <v>4574674200843357</v>
      </c>
      <c r="F4185" t="str">
        <f>"246"</f>
        <v>246</v>
      </c>
      <c r="G4185">
        <v>1</v>
      </c>
      <c r="H4185">
        <v>2023</v>
      </c>
      <c r="I4185" t="s">
        <v>4300</v>
      </c>
    </row>
    <row r="4186" spans="1:9" x14ac:dyDescent="0.3">
      <c r="A4186" t="s">
        <v>10124</v>
      </c>
      <c r="B4186" t="s">
        <v>16</v>
      </c>
      <c r="C4186">
        <v>7648876604</v>
      </c>
      <c r="D4186" s="2">
        <v>1</v>
      </c>
      <c r="E4186" t="str">
        <f>"4574674200843365"</f>
        <v>4574674200843365</v>
      </c>
      <c r="F4186" t="str">
        <f>"942"</f>
        <v>942</v>
      </c>
      <c r="G4186">
        <v>1</v>
      </c>
      <c r="H4186">
        <v>2023</v>
      </c>
      <c r="I4186" t="s">
        <v>4301</v>
      </c>
    </row>
    <row r="4187" spans="1:9" x14ac:dyDescent="0.3">
      <c r="A4187" t="s">
        <v>10124</v>
      </c>
      <c r="B4187" t="s">
        <v>16</v>
      </c>
      <c r="C4187">
        <v>7648876604</v>
      </c>
      <c r="D4187" s="2">
        <v>1</v>
      </c>
      <c r="E4187" t="str">
        <f>"4574674200843803"</f>
        <v>4574674200843803</v>
      </c>
      <c r="F4187" t="str">
        <f>"531"</f>
        <v>531</v>
      </c>
      <c r="G4187">
        <v>1</v>
      </c>
      <c r="H4187">
        <v>2023</v>
      </c>
      <c r="I4187" t="s">
        <v>4302</v>
      </c>
    </row>
    <row r="4188" spans="1:9" x14ac:dyDescent="0.3">
      <c r="A4188" t="s">
        <v>10124</v>
      </c>
      <c r="B4188" t="s">
        <v>16</v>
      </c>
      <c r="C4188">
        <v>7648876604</v>
      </c>
      <c r="D4188" s="2">
        <v>1</v>
      </c>
      <c r="E4188" t="str">
        <f>"4574674200843829"</f>
        <v>4574674200843829</v>
      </c>
      <c r="F4188" t="str">
        <f>"819"</f>
        <v>819</v>
      </c>
      <c r="G4188">
        <v>1</v>
      </c>
      <c r="H4188">
        <v>2023</v>
      </c>
      <c r="I4188" t="s">
        <v>4303</v>
      </c>
    </row>
    <row r="4189" spans="1:9" x14ac:dyDescent="0.3">
      <c r="A4189" t="s">
        <v>10125</v>
      </c>
      <c r="B4189" t="s">
        <v>17</v>
      </c>
      <c r="C4189">
        <v>7648876604</v>
      </c>
      <c r="D4189" s="2">
        <v>1</v>
      </c>
      <c r="E4189" t="str">
        <f>"4574674200843761"</f>
        <v>4574674200843761</v>
      </c>
      <c r="F4189" t="str">
        <f>"776"</f>
        <v>776</v>
      </c>
      <c r="G4189">
        <v>1</v>
      </c>
      <c r="H4189">
        <v>2023</v>
      </c>
      <c r="I4189" t="s">
        <v>4304</v>
      </c>
    </row>
    <row r="4190" spans="1:9" x14ac:dyDescent="0.3">
      <c r="A4190" t="s">
        <v>10125</v>
      </c>
      <c r="B4190" t="s">
        <v>17</v>
      </c>
      <c r="C4190">
        <v>7648876604</v>
      </c>
      <c r="D4190" s="2">
        <v>1</v>
      </c>
      <c r="E4190" t="str">
        <f>"4574674200844009"</f>
        <v>4574674200844009</v>
      </c>
      <c r="F4190" t="str">
        <f>"021"</f>
        <v>021</v>
      </c>
      <c r="G4190">
        <v>1</v>
      </c>
      <c r="H4190">
        <v>2023</v>
      </c>
      <c r="I4190" t="s">
        <v>4305</v>
      </c>
    </row>
    <row r="4191" spans="1:9" x14ac:dyDescent="0.3">
      <c r="A4191" t="s">
        <v>10125</v>
      </c>
      <c r="B4191" t="s">
        <v>17</v>
      </c>
      <c r="C4191">
        <v>7648876604</v>
      </c>
      <c r="D4191" s="2">
        <v>1</v>
      </c>
      <c r="E4191" t="str">
        <f>"4574674200843886"</f>
        <v>4574674200843886</v>
      </c>
      <c r="F4191" t="str">
        <f>"166"</f>
        <v>166</v>
      </c>
      <c r="G4191">
        <v>1</v>
      </c>
      <c r="H4191">
        <v>2023</v>
      </c>
      <c r="I4191" t="s">
        <v>4306</v>
      </c>
    </row>
    <row r="4192" spans="1:9" x14ac:dyDescent="0.3">
      <c r="A4192" t="s">
        <v>10125</v>
      </c>
      <c r="B4192" t="s">
        <v>17</v>
      </c>
      <c r="C4192">
        <v>7648876604</v>
      </c>
      <c r="D4192" s="2">
        <v>1</v>
      </c>
      <c r="E4192" t="str">
        <f>"4574674200843878"</f>
        <v>4574674200843878</v>
      </c>
      <c r="F4192" t="str">
        <f>"705"</f>
        <v>705</v>
      </c>
      <c r="G4192">
        <v>1</v>
      </c>
      <c r="H4192">
        <v>2023</v>
      </c>
      <c r="I4192" t="s">
        <v>4307</v>
      </c>
    </row>
    <row r="4193" spans="1:9" x14ac:dyDescent="0.3">
      <c r="A4193" t="s">
        <v>10125</v>
      </c>
      <c r="B4193" t="s">
        <v>17</v>
      </c>
      <c r="C4193">
        <v>7648876604</v>
      </c>
      <c r="D4193" s="2">
        <v>1</v>
      </c>
      <c r="E4193" t="str">
        <f>"4574674200843860"</f>
        <v>4574674200843860</v>
      </c>
      <c r="F4193" t="str">
        <f>"295"</f>
        <v>295</v>
      </c>
      <c r="G4193">
        <v>1</v>
      </c>
      <c r="H4193">
        <v>2023</v>
      </c>
      <c r="I4193" t="s">
        <v>4308</v>
      </c>
    </row>
    <row r="4194" spans="1:9" x14ac:dyDescent="0.3">
      <c r="A4194" t="s">
        <v>10125</v>
      </c>
      <c r="B4194" t="s">
        <v>17</v>
      </c>
      <c r="C4194">
        <v>7648876604</v>
      </c>
      <c r="D4194" s="2">
        <v>1</v>
      </c>
      <c r="E4194" t="str">
        <f>"4574674200844124"</f>
        <v>4574674200844124</v>
      </c>
      <c r="F4194" t="str">
        <f>"060"</f>
        <v>060</v>
      </c>
      <c r="G4194">
        <v>1</v>
      </c>
      <c r="H4194">
        <v>2023</v>
      </c>
      <c r="I4194" t="s">
        <v>4309</v>
      </c>
    </row>
    <row r="4195" spans="1:9" x14ac:dyDescent="0.3">
      <c r="A4195" t="s">
        <v>10125</v>
      </c>
      <c r="B4195" t="s">
        <v>17</v>
      </c>
      <c r="C4195">
        <v>7648876604</v>
      </c>
      <c r="D4195" s="2">
        <v>1</v>
      </c>
      <c r="E4195" t="str">
        <f>"4574674200844132"</f>
        <v>4574674200844132</v>
      </c>
      <c r="F4195" t="str">
        <f>"675"</f>
        <v>675</v>
      </c>
      <c r="G4195">
        <v>1</v>
      </c>
      <c r="H4195">
        <v>2023</v>
      </c>
      <c r="I4195" t="s">
        <v>4310</v>
      </c>
    </row>
    <row r="4196" spans="1:9" x14ac:dyDescent="0.3">
      <c r="A4196" t="s">
        <v>10125</v>
      </c>
      <c r="B4196" t="s">
        <v>17</v>
      </c>
      <c r="C4196">
        <v>7648876604</v>
      </c>
      <c r="D4196" s="2">
        <v>1</v>
      </c>
      <c r="E4196" t="str">
        <f>"4574674200843928"</f>
        <v>4574674200843928</v>
      </c>
      <c r="F4196" t="str">
        <f>"707"</f>
        <v>707</v>
      </c>
      <c r="G4196">
        <v>1</v>
      </c>
      <c r="H4196">
        <v>2023</v>
      </c>
      <c r="I4196" t="s">
        <v>4311</v>
      </c>
    </row>
    <row r="4197" spans="1:9" x14ac:dyDescent="0.3">
      <c r="A4197" t="s">
        <v>10125</v>
      </c>
      <c r="B4197" t="s">
        <v>17</v>
      </c>
      <c r="C4197">
        <v>7648876604</v>
      </c>
      <c r="D4197" s="2">
        <v>1</v>
      </c>
      <c r="E4197" t="str">
        <f>"4574674200843936"</f>
        <v>4574674200843936</v>
      </c>
      <c r="F4197" t="str">
        <f>"537"</f>
        <v>537</v>
      </c>
      <c r="G4197">
        <v>1</v>
      </c>
      <c r="H4197">
        <v>2023</v>
      </c>
      <c r="I4197" t="s">
        <v>4312</v>
      </c>
    </row>
    <row r="4198" spans="1:9" x14ac:dyDescent="0.3">
      <c r="A4198" t="s">
        <v>10125</v>
      </c>
      <c r="B4198" t="s">
        <v>17</v>
      </c>
      <c r="C4198">
        <v>7648876604</v>
      </c>
      <c r="D4198" s="2">
        <v>1</v>
      </c>
      <c r="E4198" t="str">
        <f>"4574674200844298"</f>
        <v>4574674200844298</v>
      </c>
      <c r="F4198" t="str">
        <f>"233"</f>
        <v>233</v>
      </c>
      <c r="G4198">
        <v>1</v>
      </c>
      <c r="H4198">
        <v>2023</v>
      </c>
      <c r="I4198" t="s">
        <v>4313</v>
      </c>
    </row>
    <row r="4199" spans="1:9" x14ac:dyDescent="0.3">
      <c r="A4199" t="s">
        <v>10126</v>
      </c>
      <c r="B4199" t="s">
        <v>18</v>
      </c>
      <c r="C4199">
        <v>7648876604</v>
      </c>
      <c r="D4199" s="2">
        <v>1</v>
      </c>
      <c r="E4199" t="str">
        <f>"4574674200843985"</f>
        <v>4574674200843985</v>
      </c>
      <c r="F4199" t="str">
        <f>"174"</f>
        <v>174</v>
      </c>
      <c r="G4199">
        <v>1</v>
      </c>
      <c r="H4199">
        <v>2023</v>
      </c>
      <c r="I4199" t="s">
        <v>4314</v>
      </c>
    </row>
    <row r="4200" spans="1:9" x14ac:dyDescent="0.3">
      <c r="A4200" t="s">
        <v>10126</v>
      </c>
      <c r="B4200" t="s">
        <v>18</v>
      </c>
      <c r="C4200">
        <v>7648876604</v>
      </c>
      <c r="D4200" s="2">
        <v>1</v>
      </c>
      <c r="E4200" t="str">
        <f>"4574674200843993"</f>
        <v>4574674200843993</v>
      </c>
      <c r="F4200" t="str">
        <f>"120"</f>
        <v>120</v>
      </c>
      <c r="G4200">
        <v>1</v>
      </c>
      <c r="H4200">
        <v>2023</v>
      </c>
      <c r="I4200" t="s">
        <v>4315</v>
      </c>
    </row>
    <row r="4201" spans="1:9" x14ac:dyDescent="0.3">
      <c r="A4201" t="s">
        <v>10126</v>
      </c>
      <c r="B4201" t="s">
        <v>18</v>
      </c>
      <c r="C4201">
        <v>7648876604</v>
      </c>
      <c r="D4201" s="2">
        <v>1</v>
      </c>
      <c r="E4201" t="str">
        <f>"4574674200844413"</f>
        <v>4574674200844413</v>
      </c>
      <c r="F4201" t="str">
        <f>"659"</f>
        <v>659</v>
      </c>
      <c r="G4201">
        <v>1</v>
      </c>
      <c r="H4201">
        <v>2023</v>
      </c>
      <c r="I4201" t="s">
        <v>4316</v>
      </c>
    </row>
    <row r="4202" spans="1:9" x14ac:dyDescent="0.3">
      <c r="A4202" t="s">
        <v>10126</v>
      </c>
      <c r="B4202" t="s">
        <v>18</v>
      </c>
      <c r="C4202">
        <v>7648876604</v>
      </c>
      <c r="D4202" s="2">
        <v>1</v>
      </c>
      <c r="E4202" t="str">
        <f>"4574674200844306"</f>
        <v>4574674200844306</v>
      </c>
      <c r="F4202" t="str">
        <f>"597"</f>
        <v>597</v>
      </c>
      <c r="G4202">
        <v>1</v>
      </c>
      <c r="H4202">
        <v>2023</v>
      </c>
      <c r="I4202" t="s">
        <v>4317</v>
      </c>
    </row>
    <row r="4203" spans="1:9" x14ac:dyDescent="0.3">
      <c r="A4203" t="s">
        <v>10126</v>
      </c>
      <c r="B4203" t="s">
        <v>18</v>
      </c>
      <c r="C4203">
        <v>7648876604</v>
      </c>
      <c r="D4203" s="2">
        <v>1</v>
      </c>
      <c r="E4203" t="str">
        <f>"4574674200844611"</f>
        <v>4574674200844611</v>
      </c>
      <c r="F4203" t="str">
        <f>"749"</f>
        <v>749</v>
      </c>
      <c r="G4203">
        <v>1</v>
      </c>
      <c r="H4203">
        <v>2023</v>
      </c>
      <c r="I4203" t="s">
        <v>4318</v>
      </c>
    </row>
    <row r="4204" spans="1:9" x14ac:dyDescent="0.3">
      <c r="A4204" t="s">
        <v>10126</v>
      </c>
      <c r="B4204" t="s">
        <v>18</v>
      </c>
      <c r="C4204">
        <v>7648876604</v>
      </c>
      <c r="D4204" s="2">
        <v>1</v>
      </c>
      <c r="E4204" t="str">
        <f>"4574674200844470"</f>
        <v>4574674200844470</v>
      </c>
      <c r="F4204" t="str">
        <f>"239"</f>
        <v>239</v>
      </c>
      <c r="G4204">
        <v>1</v>
      </c>
      <c r="H4204">
        <v>2023</v>
      </c>
      <c r="I4204" t="s">
        <v>4319</v>
      </c>
    </row>
    <row r="4205" spans="1:9" x14ac:dyDescent="0.3">
      <c r="A4205" t="s">
        <v>10126</v>
      </c>
      <c r="B4205" t="s">
        <v>18</v>
      </c>
      <c r="C4205">
        <v>7648876604</v>
      </c>
      <c r="D4205" s="2">
        <v>1</v>
      </c>
      <c r="E4205" t="str">
        <f>"4574674200844462"</f>
        <v>4574674200844462</v>
      </c>
      <c r="F4205" t="str">
        <f>"971"</f>
        <v>971</v>
      </c>
      <c r="G4205">
        <v>1</v>
      </c>
      <c r="H4205">
        <v>2023</v>
      </c>
      <c r="I4205" t="s">
        <v>4320</v>
      </c>
    </row>
    <row r="4206" spans="1:9" x14ac:dyDescent="0.3">
      <c r="A4206" t="s">
        <v>10126</v>
      </c>
      <c r="B4206" t="s">
        <v>18</v>
      </c>
      <c r="C4206">
        <v>7648876604</v>
      </c>
      <c r="D4206" s="2">
        <v>1</v>
      </c>
      <c r="E4206" t="str">
        <f>"4574674200844686"</f>
        <v>4574674200844686</v>
      </c>
      <c r="F4206" t="str">
        <f>"655"</f>
        <v>655</v>
      </c>
      <c r="G4206">
        <v>1</v>
      </c>
      <c r="H4206">
        <v>2023</v>
      </c>
      <c r="I4206" t="s">
        <v>4321</v>
      </c>
    </row>
    <row r="4207" spans="1:9" x14ac:dyDescent="0.3">
      <c r="A4207" t="s">
        <v>10126</v>
      </c>
      <c r="B4207" t="s">
        <v>18</v>
      </c>
      <c r="C4207">
        <v>7648876604</v>
      </c>
      <c r="D4207" s="2">
        <v>1</v>
      </c>
      <c r="E4207" t="str">
        <f>"4574674200844504"</f>
        <v>4574674200844504</v>
      </c>
      <c r="F4207" t="str">
        <f>"051"</f>
        <v>051</v>
      </c>
      <c r="G4207">
        <v>1</v>
      </c>
      <c r="H4207">
        <v>2023</v>
      </c>
      <c r="I4207" t="s">
        <v>4322</v>
      </c>
    </row>
    <row r="4208" spans="1:9" x14ac:dyDescent="0.3">
      <c r="A4208" t="s">
        <v>10126</v>
      </c>
      <c r="B4208" t="s">
        <v>18</v>
      </c>
      <c r="C4208">
        <v>7648876604</v>
      </c>
      <c r="D4208" s="2">
        <v>1</v>
      </c>
      <c r="E4208" t="str">
        <f>"4574674200844793"</f>
        <v>4574674200844793</v>
      </c>
      <c r="F4208" t="str">
        <f>"285"</f>
        <v>285</v>
      </c>
      <c r="G4208">
        <v>1</v>
      </c>
      <c r="H4208">
        <v>2023</v>
      </c>
      <c r="I4208" t="s">
        <v>4323</v>
      </c>
    </row>
    <row r="4209" spans="1:9" x14ac:dyDescent="0.3">
      <c r="A4209" t="s">
        <v>10127</v>
      </c>
      <c r="B4209" t="s">
        <v>19</v>
      </c>
      <c r="C4209">
        <v>7648876604</v>
      </c>
      <c r="D4209" s="2">
        <v>1</v>
      </c>
      <c r="E4209" t="str">
        <f>"4574674200844512"</f>
        <v>4574674200844512</v>
      </c>
      <c r="F4209" t="str">
        <f>"444"</f>
        <v>444</v>
      </c>
      <c r="G4209">
        <v>1</v>
      </c>
      <c r="H4209">
        <v>2023</v>
      </c>
      <c r="I4209" t="s">
        <v>4324</v>
      </c>
    </row>
    <row r="4210" spans="1:9" x14ac:dyDescent="0.3">
      <c r="A4210" t="s">
        <v>10127</v>
      </c>
      <c r="B4210" t="s">
        <v>19</v>
      </c>
      <c r="C4210">
        <v>7648876604</v>
      </c>
      <c r="D4210" s="2">
        <v>1</v>
      </c>
      <c r="E4210" t="str">
        <f>"4574674200844538"</f>
        <v>4574674200844538</v>
      </c>
      <c r="F4210" t="str">
        <f>"179"</f>
        <v>179</v>
      </c>
      <c r="G4210">
        <v>1</v>
      </c>
      <c r="H4210">
        <v>2023</v>
      </c>
      <c r="I4210" t="s">
        <v>4325</v>
      </c>
    </row>
    <row r="4211" spans="1:9" x14ac:dyDescent="0.3">
      <c r="A4211" t="s">
        <v>10127</v>
      </c>
      <c r="B4211" t="s">
        <v>19</v>
      </c>
      <c r="C4211">
        <v>7648876604</v>
      </c>
      <c r="D4211" s="2">
        <v>1</v>
      </c>
      <c r="E4211" t="str">
        <f>"4574674200844850"</f>
        <v>4574674200844850</v>
      </c>
      <c r="F4211" t="str">
        <f>"607"</f>
        <v>607</v>
      </c>
      <c r="G4211">
        <v>1</v>
      </c>
      <c r="H4211">
        <v>2023</v>
      </c>
      <c r="I4211" t="s">
        <v>4326</v>
      </c>
    </row>
    <row r="4212" spans="1:9" x14ac:dyDescent="0.3">
      <c r="A4212" t="s">
        <v>10127</v>
      </c>
      <c r="B4212" t="s">
        <v>19</v>
      </c>
      <c r="C4212">
        <v>7648876604</v>
      </c>
      <c r="D4212" s="2">
        <v>1</v>
      </c>
      <c r="E4212" t="str">
        <f>"4574674200845006"</f>
        <v>4574674200845006</v>
      </c>
      <c r="F4212" t="str">
        <f>"746"</f>
        <v>746</v>
      </c>
      <c r="G4212">
        <v>1</v>
      </c>
      <c r="H4212">
        <v>2023</v>
      </c>
      <c r="I4212" t="s">
        <v>4327</v>
      </c>
    </row>
    <row r="4213" spans="1:9" x14ac:dyDescent="0.3">
      <c r="A4213" t="s">
        <v>10127</v>
      </c>
      <c r="B4213" t="s">
        <v>19</v>
      </c>
      <c r="C4213">
        <v>7648876604</v>
      </c>
      <c r="D4213" s="2">
        <v>1</v>
      </c>
      <c r="E4213" t="str">
        <f>"4574674200844595"</f>
        <v>4574674200844595</v>
      </c>
      <c r="F4213" t="str">
        <f>"866"</f>
        <v>866</v>
      </c>
      <c r="G4213">
        <v>1</v>
      </c>
      <c r="H4213">
        <v>2023</v>
      </c>
      <c r="I4213" t="s">
        <v>4328</v>
      </c>
    </row>
    <row r="4214" spans="1:9" x14ac:dyDescent="0.3">
      <c r="A4214" t="s">
        <v>10127</v>
      </c>
      <c r="B4214" t="s">
        <v>19</v>
      </c>
      <c r="C4214">
        <v>7648876604</v>
      </c>
      <c r="D4214" s="2">
        <v>1</v>
      </c>
      <c r="E4214" t="str">
        <f>"4574674200844926"</f>
        <v>4574674200844926</v>
      </c>
      <c r="F4214" t="str">
        <f>"716"</f>
        <v>716</v>
      </c>
      <c r="G4214">
        <v>1</v>
      </c>
      <c r="H4214">
        <v>2023</v>
      </c>
      <c r="I4214" t="s">
        <v>4329</v>
      </c>
    </row>
    <row r="4215" spans="1:9" x14ac:dyDescent="0.3">
      <c r="A4215" t="s">
        <v>10127</v>
      </c>
      <c r="B4215" t="s">
        <v>19</v>
      </c>
      <c r="C4215">
        <v>7648876604</v>
      </c>
      <c r="D4215" s="2">
        <v>1</v>
      </c>
      <c r="E4215" t="str">
        <f>"4574674200845022"</f>
        <v>4574674200845022</v>
      </c>
      <c r="F4215" t="str">
        <f>"253"</f>
        <v>253</v>
      </c>
      <c r="G4215">
        <v>1</v>
      </c>
      <c r="H4215">
        <v>2023</v>
      </c>
      <c r="I4215" t="s">
        <v>4330</v>
      </c>
    </row>
    <row r="4216" spans="1:9" x14ac:dyDescent="0.3">
      <c r="A4216" t="s">
        <v>10127</v>
      </c>
      <c r="B4216" t="s">
        <v>19</v>
      </c>
      <c r="C4216">
        <v>7648876604</v>
      </c>
      <c r="D4216" s="2">
        <v>1</v>
      </c>
      <c r="E4216" t="str">
        <f>"4574674200845048"</f>
        <v>4574674200845048</v>
      </c>
      <c r="F4216" t="str">
        <f>"553"</f>
        <v>553</v>
      </c>
      <c r="G4216">
        <v>1</v>
      </c>
      <c r="H4216">
        <v>2023</v>
      </c>
      <c r="I4216" t="s">
        <v>4331</v>
      </c>
    </row>
    <row r="4217" spans="1:9" x14ac:dyDescent="0.3">
      <c r="A4217" t="s">
        <v>10127</v>
      </c>
      <c r="B4217" t="s">
        <v>19</v>
      </c>
      <c r="C4217">
        <v>7648876604</v>
      </c>
      <c r="D4217" s="2">
        <v>1</v>
      </c>
      <c r="E4217" t="str">
        <f>"4574674200845212"</f>
        <v>4574674200845212</v>
      </c>
      <c r="F4217" t="str">
        <f>"191"</f>
        <v>191</v>
      </c>
      <c r="G4217">
        <v>1</v>
      </c>
      <c r="H4217">
        <v>2023</v>
      </c>
      <c r="I4217" t="s">
        <v>4332</v>
      </c>
    </row>
    <row r="4218" spans="1:9" x14ac:dyDescent="0.3">
      <c r="A4218" t="s">
        <v>10127</v>
      </c>
      <c r="B4218" t="s">
        <v>19</v>
      </c>
      <c r="C4218">
        <v>7648876604</v>
      </c>
      <c r="D4218" s="2">
        <v>1</v>
      </c>
      <c r="E4218" t="str">
        <f>"4574674200845055"</f>
        <v>4574674200845055</v>
      </c>
      <c r="F4218" t="str">
        <f>"479"</f>
        <v>479</v>
      </c>
      <c r="G4218">
        <v>1</v>
      </c>
      <c r="H4218">
        <v>2023</v>
      </c>
      <c r="I4218" t="s">
        <v>4333</v>
      </c>
    </row>
    <row r="4219" spans="1:9" x14ac:dyDescent="0.3">
      <c r="A4219" t="s">
        <v>10128</v>
      </c>
      <c r="B4219" t="s">
        <v>20</v>
      </c>
      <c r="C4219">
        <v>7648876604</v>
      </c>
      <c r="D4219" s="2">
        <v>1</v>
      </c>
      <c r="E4219" t="str">
        <f>"4574674200845329"</f>
        <v>4574674200845329</v>
      </c>
      <c r="F4219" t="str">
        <f>"187"</f>
        <v>187</v>
      </c>
      <c r="G4219">
        <v>1</v>
      </c>
      <c r="H4219">
        <v>2023</v>
      </c>
      <c r="I4219" t="s">
        <v>4334</v>
      </c>
    </row>
    <row r="4220" spans="1:9" x14ac:dyDescent="0.3">
      <c r="A4220" t="s">
        <v>10128</v>
      </c>
      <c r="B4220" t="s">
        <v>20</v>
      </c>
      <c r="C4220">
        <v>7648876604</v>
      </c>
      <c r="D4220" s="2">
        <v>1</v>
      </c>
      <c r="E4220" t="str">
        <f>"4574674200845121"</f>
        <v>4574674200845121</v>
      </c>
      <c r="F4220" t="str">
        <f>"763"</f>
        <v>763</v>
      </c>
      <c r="G4220">
        <v>1</v>
      </c>
      <c r="H4220">
        <v>2023</v>
      </c>
      <c r="I4220" t="s">
        <v>4335</v>
      </c>
    </row>
    <row r="4221" spans="1:9" x14ac:dyDescent="0.3">
      <c r="A4221" t="s">
        <v>10128</v>
      </c>
      <c r="B4221" t="s">
        <v>20</v>
      </c>
      <c r="C4221">
        <v>7648876604</v>
      </c>
      <c r="D4221" s="2">
        <v>1</v>
      </c>
      <c r="E4221" t="str">
        <f>"4574674200845105"</f>
        <v>4574674200845105</v>
      </c>
      <c r="F4221" t="str">
        <f>"243"</f>
        <v>243</v>
      </c>
      <c r="G4221">
        <v>1</v>
      </c>
      <c r="H4221">
        <v>2023</v>
      </c>
      <c r="I4221" t="s">
        <v>4336</v>
      </c>
    </row>
    <row r="4222" spans="1:9" x14ac:dyDescent="0.3">
      <c r="A4222" t="s">
        <v>10128</v>
      </c>
      <c r="B4222" t="s">
        <v>20</v>
      </c>
      <c r="C4222">
        <v>7648876604</v>
      </c>
      <c r="D4222" s="2">
        <v>1</v>
      </c>
      <c r="E4222" t="str">
        <f>"4574674200845378"</f>
        <v>4574674200845378</v>
      </c>
      <c r="F4222" t="str">
        <f>"051"</f>
        <v>051</v>
      </c>
      <c r="G4222">
        <v>1</v>
      </c>
      <c r="H4222">
        <v>2023</v>
      </c>
      <c r="I4222" t="s">
        <v>4337</v>
      </c>
    </row>
    <row r="4223" spans="1:9" x14ac:dyDescent="0.3">
      <c r="A4223" t="s">
        <v>10128</v>
      </c>
      <c r="B4223" t="s">
        <v>20</v>
      </c>
      <c r="C4223">
        <v>7648876604</v>
      </c>
      <c r="D4223" s="2">
        <v>1</v>
      </c>
      <c r="E4223" t="str">
        <f>"4574674200845154"</f>
        <v>4574674200845154</v>
      </c>
      <c r="F4223" t="str">
        <f>"073"</f>
        <v>073</v>
      </c>
      <c r="G4223">
        <v>1</v>
      </c>
      <c r="H4223">
        <v>2023</v>
      </c>
      <c r="I4223" t="s">
        <v>4338</v>
      </c>
    </row>
    <row r="4224" spans="1:9" x14ac:dyDescent="0.3">
      <c r="A4224" t="s">
        <v>10128</v>
      </c>
      <c r="B4224" t="s">
        <v>20</v>
      </c>
      <c r="C4224">
        <v>7648876604</v>
      </c>
      <c r="D4224" s="2">
        <v>1</v>
      </c>
      <c r="E4224" t="str">
        <f>"4574674200845147"</f>
        <v>4574674200845147</v>
      </c>
      <c r="F4224" t="str">
        <f>"505"</f>
        <v>505</v>
      </c>
      <c r="G4224">
        <v>1</v>
      </c>
      <c r="H4224">
        <v>2023</v>
      </c>
      <c r="I4224" t="s">
        <v>4339</v>
      </c>
    </row>
    <row r="4225" spans="1:9" x14ac:dyDescent="0.3">
      <c r="A4225" t="s">
        <v>10128</v>
      </c>
      <c r="B4225" t="s">
        <v>20</v>
      </c>
      <c r="C4225">
        <v>7648876604</v>
      </c>
      <c r="D4225" s="2">
        <v>1</v>
      </c>
      <c r="E4225" t="str">
        <f>"4574674200845170"</f>
        <v>4574674200845170</v>
      </c>
      <c r="F4225" t="str">
        <f>"294"</f>
        <v>294</v>
      </c>
      <c r="G4225">
        <v>1</v>
      </c>
      <c r="H4225">
        <v>2023</v>
      </c>
      <c r="I4225" t="s">
        <v>4340</v>
      </c>
    </row>
    <row r="4226" spans="1:9" x14ac:dyDescent="0.3">
      <c r="A4226" t="s">
        <v>10128</v>
      </c>
      <c r="B4226" t="s">
        <v>20</v>
      </c>
      <c r="C4226">
        <v>7648876604</v>
      </c>
      <c r="D4226" s="2">
        <v>1</v>
      </c>
      <c r="E4226" t="str">
        <f>"4574674200845477"</f>
        <v>4574674200845477</v>
      </c>
      <c r="F4226" t="str">
        <f>"539"</f>
        <v>539</v>
      </c>
      <c r="G4226">
        <v>1</v>
      </c>
      <c r="H4226">
        <v>2023</v>
      </c>
      <c r="I4226" t="s">
        <v>4341</v>
      </c>
    </row>
    <row r="4227" spans="1:9" x14ac:dyDescent="0.3">
      <c r="A4227" t="s">
        <v>10128</v>
      </c>
      <c r="B4227" t="s">
        <v>20</v>
      </c>
      <c r="C4227">
        <v>7648876604</v>
      </c>
      <c r="D4227" s="2">
        <v>1</v>
      </c>
      <c r="E4227" t="str">
        <f>"4574674200845535"</f>
        <v>4574674200845535</v>
      </c>
      <c r="F4227" t="str">
        <f>"650"</f>
        <v>650</v>
      </c>
      <c r="G4227">
        <v>1</v>
      </c>
      <c r="H4227">
        <v>2023</v>
      </c>
      <c r="I4227" t="s">
        <v>4342</v>
      </c>
    </row>
    <row r="4228" spans="1:9" x14ac:dyDescent="0.3">
      <c r="A4228" t="s">
        <v>10128</v>
      </c>
      <c r="B4228" t="s">
        <v>20</v>
      </c>
      <c r="C4228">
        <v>7648876604</v>
      </c>
      <c r="D4228" s="2">
        <v>1</v>
      </c>
      <c r="E4228" t="str">
        <f>"4574674200845642"</f>
        <v>4574674200845642</v>
      </c>
      <c r="F4228" t="str">
        <f>"929"</f>
        <v>929</v>
      </c>
      <c r="G4228">
        <v>1</v>
      </c>
      <c r="H4228">
        <v>2023</v>
      </c>
      <c r="I4228" t="s">
        <v>4343</v>
      </c>
    </row>
    <row r="4229" spans="1:9" x14ac:dyDescent="0.3">
      <c r="A4229" t="s">
        <v>10129</v>
      </c>
      <c r="B4229" t="s">
        <v>21</v>
      </c>
      <c r="C4229">
        <v>7648876604</v>
      </c>
      <c r="D4229" s="2">
        <v>1</v>
      </c>
      <c r="E4229" t="str">
        <f>"4574674200845873"</f>
        <v>4574674200845873</v>
      </c>
      <c r="F4229" t="str">
        <f>"512"</f>
        <v>512</v>
      </c>
      <c r="G4229">
        <v>1</v>
      </c>
      <c r="H4229">
        <v>2023</v>
      </c>
      <c r="I4229" t="s">
        <v>4344</v>
      </c>
    </row>
    <row r="4230" spans="1:9" x14ac:dyDescent="0.3">
      <c r="A4230" t="s">
        <v>10129</v>
      </c>
      <c r="B4230" t="s">
        <v>21</v>
      </c>
      <c r="C4230">
        <v>7648876604</v>
      </c>
      <c r="D4230" s="2">
        <v>1</v>
      </c>
      <c r="E4230" t="str">
        <f>"4574674200845881"</f>
        <v>4574674200845881</v>
      </c>
      <c r="F4230" t="str">
        <f>"313"</f>
        <v>313</v>
      </c>
      <c r="G4230">
        <v>1</v>
      </c>
      <c r="H4230">
        <v>2023</v>
      </c>
      <c r="I4230" t="s">
        <v>4345</v>
      </c>
    </row>
    <row r="4231" spans="1:9" x14ac:dyDescent="0.3">
      <c r="A4231" t="s">
        <v>10129</v>
      </c>
      <c r="B4231" t="s">
        <v>21</v>
      </c>
      <c r="C4231">
        <v>7648876604</v>
      </c>
      <c r="D4231" s="2">
        <v>1</v>
      </c>
      <c r="E4231" t="str">
        <f>"4574674200845675"</f>
        <v>4574674200845675</v>
      </c>
      <c r="F4231" t="str">
        <f>"258"</f>
        <v>258</v>
      </c>
      <c r="G4231">
        <v>1</v>
      </c>
      <c r="H4231">
        <v>2023</v>
      </c>
      <c r="I4231" t="s">
        <v>4346</v>
      </c>
    </row>
    <row r="4232" spans="1:9" x14ac:dyDescent="0.3">
      <c r="A4232" t="s">
        <v>10129</v>
      </c>
      <c r="B4232" t="s">
        <v>21</v>
      </c>
      <c r="C4232">
        <v>7648876604</v>
      </c>
      <c r="D4232" s="2">
        <v>1</v>
      </c>
      <c r="E4232" t="str">
        <f>"4574674200845691"</f>
        <v>4574674200845691</v>
      </c>
      <c r="F4232" t="str">
        <f>"977"</f>
        <v>977</v>
      </c>
      <c r="G4232">
        <v>1</v>
      </c>
      <c r="H4232">
        <v>2023</v>
      </c>
      <c r="I4232" t="s">
        <v>4347</v>
      </c>
    </row>
    <row r="4233" spans="1:9" x14ac:dyDescent="0.3">
      <c r="A4233" t="s">
        <v>10129</v>
      </c>
      <c r="B4233" t="s">
        <v>21</v>
      </c>
      <c r="C4233">
        <v>7648876604</v>
      </c>
      <c r="D4233" s="2">
        <v>1</v>
      </c>
      <c r="E4233" t="str">
        <f>"4574674200846038"</f>
        <v>4574674200846038</v>
      </c>
      <c r="F4233" t="str">
        <f>"613"</f>
        <v>613</v>
      </c>
      <c r="G4233">
        <v>1</v>
      </c>
      <c r="H4233">
        <v>2023</v>
      </c>
      <c r="I4233" t="s">
        <v>4348</v>
      </c>
    </row>
    <row r="4234" spans="1:9" x14ac:dyDescent="0.3">
      <c r="A4234" t="s">
        <v>10129</v>
      </c>
      <c r="B4234" t="s">
        <v>21</v>
      </c>
      <c r="C4234">
        <v>7648876604</v>
      </c>
      <c r="D4234" s="2">
        <v>1</v>
      </c>
      <c r="E4234" t="str">
        <f>"4574674200845741"</f>
        <v>4574674200845741</v>
      </c>
      <c r="F4234" t="str">
        <f>"349"</f>
        <v>349</v>
      </c>
      <c r="G4234">
        <v>1</v>
      </c>
      <c r="H4234">
        <v>2023</v>
      </c>
      <c r="I4234" t="s">
        <v>4349</v>
      </c>
    </row>
    <row r="4235" spans="1:9" x14ac:dyDescent="0.3">
      <c r="A4235" t="s">
        <v>10129</v>
      </c>
      <c r="B4235" t="s">
        <v>21</v>
      </c>
      <c r="C4235">
        <v>7648876604</v>
      </c>
      <c r="D4235" s="2">
        <v>1</v>
      </c>
      <c r="E4235" t="str">
        <f>"4574674200845774"</f>
        <v>4574674200845774</v>
      </c>
      <c r="F4235" t="str">
        <f>"378"</f>
        <v>378</v>
      </c>
      <c r="G4235">
        <v>1</v>
      </c>
      <c r="H4235">
        <v>2023</v>
      </c>
      <c r="I4235" t="s">
        <v>4350</v>
      </c>
    </row>
    <row r="4236" spans="1:9" x14ac:dyDescent="0.3">
      <c r="A4236" t="s">
        <v>10129</v>
      </c>
      <c r="B4236" t="s">
        <v>21</v>
      </c>
      <c r="C4236">
        <v>7648876604</v>
      </c>
      <c r="D4236" s="2">
        <v>1</v>
      </c>
      <c r="E4236" t="str">
        <f>"4574674200846046"</f>
        <v>4574674200846046</v>
      </c>
      <c r="F4236" t="str">
        <f>"740"</f>
        <v>740</v>
      </c>
      <c r="G4236">
        <v>1</v>
      </c>
      <c r="H4236">
        <v>2023</v>
      </c>
      <c r="I4236" t="s">
        <v>4351</v>
      </c>
    </row>
    <row r="4237" spans="1:9" x14ac:dyDescent="0.3">
      <c r="A4237" t="s">
        <v>10129</v>
      </c>
      <c r="B4237" t="s">
        <v>21</v>
      </c>
      <c r="C4237">
        <v>7648876604</v>
      </c>
      <c r="D4237" s="2">
        <v>1</v>
      </c>
      <c r="E4237" t="str">
        <f>"4574674200845782"</f>
        <v>4574674200845782</v>
      </c>
      <c r="F4237" t="str">
        <f>"567"</f>
        <v>567</v>
      </c>
      <c r="G4237">
        <v>1</v>
      </c>
      <c r="H4237">
        <v>2023</v>
      </c>
      <c r="I4237" t="s">
        <v>4352</v>
      </c>
    </row>
    <row r="4238" spans="1:9" x14ac:dyDescent="0.3">
      <c r="A4238" t="s">
        <v>10129</v>
      </c>
      <c r="B4238" t="s">
        <v>21</v>
      </c>
      <c r="C4238">
        <v>7648876604</v>
      </c>
      <c r="D4238" s="2">
        <v>1</v>
      </c>
      <c r="E4238" t="str">
        <f>"4574674200846186"</f>
        <v>4574674200846186</v>
      </c>
      <c r="F4238" t="str">
        <f>"733"</f>
        <v>733</v>
      </c>
      <c r="G4238">
        <v>1</v>
      </c>
      <c r="H4238">
        <v>2023</v>
      </c>
      <c r="I4238" t="s">
        <v>4353</v>
      </c>
    </row>
    <row r="4239" spans="1:9" x14ac:dyDescent="0.3">
      <c r="A4239" t="s">
        <v>10130</v>
      </c>
      <c r="B4239" t="s">
        <v>22</v>
      </c>
      <c r="C4239">
        <v>7648876604</v>
      </c>
      <c r="D4239" s="2">
        <v>1</v>
      </c>
      <c r="E4239" t="str">
        <f>"4574674200846202"</f>
        <v>4574674200846202</v>
      </c>
      <c r="F4239" t="str">
        <f>"922"</f>
        <v>922</v>
      </c>
      <c r="G4239">
        <v>1</v>
      </c>
      <c r="H4239">
        <v>2023</v>
      </c>
      <c r="I4239" t="s">
        <v>4354</v>
      </c>
    </row>
    <row r="4240" spans="1:9" x14ac:dyDescent="0.3">
      <c r="A4240" t="s">
        <v>10130</v>
      </c>
      <c r="B4240" t="s">
        <v>22</v>
      </c>
      <c r="C4240">
        <v>7648876604</v>
      </c>
      <c r="D4240" s="2">
        <v>1</v>
      </c>
      <c r="E4240" t="str">
        <f>"4574674200846400"</f>
        <v>4574674200846400</v>
      </c>
      <c r="F4240" t="str">
        <f>"649"</f>
        <v>649</v>
      </c>
      <c r="G4240">
        <v>1</v>
      </c>
      <c r="H4240">
        <v>2023</v>
      </c>
      <c r="I4240" t="s">
        <v>4355</v>
      </c>
    </row>
    <row r="4241" spans="1:9" x14ac:dyDescent="0.3">
      <c r="A4241" t="s">
        <v>10130</v>
      </c>
      <c r="B4241" t="s">
        <v>22</v>
      </c>
      <c r="C4241">
        <v>7648876604</v>
      </c>
      <c r="D4241" s="2">
        <v>1</v>
      </c>
      <c r="E4241" t="str">
        <f>"4574674200846210"</f>
        <v>4574674200846210</v>
      </c>
      <c r="F4241" t="str">
        <f>"350"</f>
        <v>350</v>
      </c>
      <c r="G4241">
        <v>1</v>
      </c>
      <c r="H4241">
        <v>2023</v>
      </c>
      <c r="I4241" t="s">
        <v>4356</v>
      </c>
    </row>
    <row r="4242" spans="1:9" x14ac:dyDescent="0.3">
      <c r="A4242" t="s">
        <v>10130</v>
      </c>
      <c r="B4242" t="s">
        <v>22</v>
      </c>
      <c r="C4242">
        <v>7648876604</v>
      </c>
      <c r="D4242" s="2">
        <v>1</v>
      </c>
      <c r="E4242" t="str">
        <f>"4574674200846277"</f>
        <v>4574674200846277</v>
      </c>
      <c r="F4242" t="str">
        <f>"983"</f>
        <v>983</v>
      </c>
      <c r="G4242">
        <v>1</v>
      </c>
      <c r="H4242">
        <v>2023</v>
      </c>
      <c r="I4242" t="s">
        <v>4357</v>
      </c>
    </row>
    <row r="4243" spans="1:9" x14ac:dyDescent="0.3">
      <c r="A4243" t="s">
        <v>10130</v>
      </c>
      <c r="B4243" t="s">
        <v>22</v>
      </c>
      <c r="C4243">
        <v>7648876604</v>
      </c>
      <c r="D4243" s="2">
        <v>1</v>
      </c>
      <c r="E4243" t="str">
        <f>"4574674200846285"</f>
        <v>4574674200846285</v>
      </c>
      <c r="F4243" t="str">
        <f>"286"</f>
        <v>286</v>
      </c>
      <c r="G4243">
        <v>1</v>
      </c>
      <c r="H4243">
        <v>2023</v>
      </c>
      <c r="I4243" t="s">
        <v>4358</v>
      </c>
    </row>
    <row r="4244" spans="1:9" x14ac:dyDescent="0.3">
      <c r="A4244" t="s">
        <v>10130</v>
      </c>
      <c r="B4244" t="s">
        <v>22</v>
      </c>
      <c r="C4244">
        <v>7648876604</v>
      </c>
      <c r="D4244" s="2">
        <v>1</v>
      </c>
      <c r="E4244" t="str">
        <f>"4574674200846541"</f>
        <v>4574674200846541</v>
      </c>
      <c r="F4244" t="str">
        <f>"681"</f>
        <v>681</v>
      </c>
      <c r="G4244">
        <v>1</v>
      </c>
      <c r="H4244">
        <v>2023</v>
      </c>
      <c r="I4244" t="s">
        <v>4359</v>
      </c>
    </row>
    <row r="4245" spans="1:9" x14ac:dyDescent="0.3">
      <c r="A4245" t="s">
        <v>10130</v>
      </c>
      <c r="B4245" t="s">
        <v>22</v>
      </c>
      <c r="C4245">
        <v>7648876604</v>
      </c>
      <c r="D4245" s="2">
        <v>1</v>
      </c>
      <c r="E4245" t="str">
        <f>"4574674200846574"</f>
        <v>4574674200846574</v>
      </c>
      <c r="F4245" t="str">
        <f>"594"</f>
        <v>594</v>
      </c>
      <c r="G4245">
        <v>1</v>
      </c>
      <c r="H4245">
        <v>2023</v>
      </c>
      <c r="I4245" t="s">
        <v>4360</v>
      </c>
    </row>
    <row r="4246" spans="1:9" x14ac:dyDescent="0.3">
      <c r="A4246" t="s">
        <v>10130</v>
      </c>
      <c r="B4246" t="s">
        <v>22</v>
      </c>
      <c r="C4246">
        <v>7648876604</v>
      </c>
      <c r="D4246" s="2">
        <v>1</v>
      </c>
      <c r="E4246" t="str">
        <f>"4574674200846319"</f>
        <v>4574674200846319</v>
      </c>
      <c r="F4246" t="str">
        <f>"242"</f>
        <v>242</v>
      </c>
      <c r="G4246">
        <v>1</v>
      </c>
      <c r="H4246">
        <v>2023</v>
      </c>
      <c r="I4246" t="s">
        <v>4361</v>
      </c>
    </row>
    <row r="4247" spans="1:9" x14ac:dyDescent="0.3">
      <c r="A4247" t="s">
        <v>10130</v>
      </c>
      <c r="B4247" t="s">
        <v>22</v>
      </c>
      <c r="C4247">
        <v>7648876604</v>
      </c>
      <c r="D4247" s="2">
        <v>1</v>
      </c>
      <c r="E4247" t="str">
        <f>"4574674200846335"</f>
        <v>4574674200846335</v>
      </c>
      <c r="F4247" t="str">
        <f>"288"</f>
        <v>288</v>
      </c>
      <c r="G4247">
        <v>1</v>
      </c>
      <c r="H4247">
        <v>2023</v>
      </c>
      <c r="I4247" t="s">
        <v>4362</v>
      </c>
    </row>
    <row r="4248" spans="1:9" x14ac:dyDescent="0.3">
      <c r="A4248" t="s">
        <v>10130</v>
      </c>
      <c r="B4248" t="s">
        <v>22</v>
      </c>
      <c r="C4248">
        <v>7648876604</v>
      </c>
      <c r="D4248" s="2">
        <v>1</v>
      </c>
      <c r="E4248" t="str">
        <f>"4574674200846327"</f>
        <v>4574674200846327</v>
      </c>
      <c r="F4248" t="str">
        <f>"781"</f>
        <v>781</v>
      </c>
      <c r="G4248">
        <v>1</v>
      </c>
      <c r="H4248">
        <v>2023</v>
      </c>
      <c r="I4248" t="s">
        <v>4363</v>
      </c>
    </row>
    <row r="4249" spans="1:9" x14ac:dyDescent="0.3">
      <c r="A4249" t="s">
        <v>10131</v>
      </c>
      <c r="B4249" t="s">
        <v>23</v>
      </c>
      <c r="C4249">
        <v>7648876604</v>
      </c>
      <c r="D4249" s="2">
        <v>1</v>
      </c>
      <c r="E4249" t="str">
        <f>"4574674200846731"</f>
        <v>4574674200846731</v>
      </c>
      <c r="F4249" t="str">
        <f>"867"</f>
        <v>867</v>
      </c>
      <c r="G4249">
        <v>1</v>
      </c>
      <c r="H4249">
        <v>2023</v>
      </c>
      <c r="I4249" t="s">
        <v>4364</v>
      </c>
    </row>
    <row r="4250" spans="1:9" x14ac:dyDescent="0.3">
      <c r="A4250" t="s">
        <v>10131</v>
      </c>
      <c r="B4250" t="s">
        <v>23</v>
      </c>
      <c r="C4250">
        <v>7648876604</v>
      </c>
      <c r="D4250" s="2">
        <v>1</v>
      </c>
      <c r="E4250" t="str">
        <f>"4574674200846749"</f>
        <v>4574674200846749</v>
      </c>
      <c r="F4250" t="str">
        <f>"309"</f>
        <v>309</v>
      </c>
      <c r="G4250">
        <v>1</v>
      </c>
      <c r="H4250">
        <v>2023</v>
      </c>
      <c r="I4250" t="s">
        <v>4365</v>
      </c>
    </row>
    <row r="4251" spans="1:9" x14ac:dyDescent="0.3">
      <c r="A4251" t="s">
        <v>10131</v>
      </c>
      <c r="B4251" t="s">
        <v>23</v>
      </c>
      <c r="C4251">
        <v>7648876604</v>
      </c>
      <c r="D4251" s="2">
        <v>1</v>
      </c>
      <c r="E4251" t="str">
        <f>"4574674200846392"</f>
        <v>4574674200846392</v>
      </c>
      <c r="F4251" t="str">
        <f>"878"</f>
        <v>878</v>
      </c>
      <c r="G4251">
        <v>1</v>
      </c>
      <c r="H4251">
        <v>2023</v>
      </c>
      <c r="I4251" t="s">
        <v>4366</v>
      </c>
    </row>
    <row r="4252" spans="1:9" x14ac:dyDescent="0.3">
      <c r="A4252" t="s">
        <v>10131</v>
      </c>
      <c r="B4252" t="s">
        <v>23</v>
      </c>
      <c r="C4252">
        <v>7648876604</v>
      </c>
      <c r="D4252" s="2">
        <v>1</v>
      </c>
      <c r="E4252" t="str">
        <f>"4574674200846806"</f>
        <v>4574674200846806</v>
      </c>
      <c r="F4252" t="str">
        <f>"337"</f>
        <v>337</v>
      </c>
      <c r="G4252">
        <v>1</v>
      </c>
      <c r="H4252">
        <v>2023</v>
      </c>
      <c r="I4252" t="s">
        <v>4367</v>
      </c>
    </row>
    <row r="4253" spans="1:9" x14ac:dyDescent="0.3">
      <c r="A4253" t="s">
        <v>10131</v>
      </c>
      <c r="B4253" t="s">
        <v>23</v>
      </c>
      <c r="C4253">
        <v>7648876604</v>
      </c>
      <c r="D4253" s="2">
        <v>1</v>
      </c>
      <c r="E4253" t="str">
        <f>"4574674200846830"</f>
        <v>4574674200846830</v>
      </c>
      <c r="F4253" t="str">
        <f>"414"</f>
        <v>414</v>
      </c>
      <c r="G4253">
        <v>1</v>
      </c>
      <c r="H4253">
        <v>2023</v>
      </c>
      <c r="I4253" t="s">
        <v>4368</v>
      </c>
    </row>
    <row r="4254" spans="1:9" x14ac:dyDescent="0.3">
      <c r="A4254" t="s">
        <v>10131</v>
      </c>
      <c r="B4254" t="s">
        <v>23</v>
      </c>
      <c r="C4254">
        <v>7648876604</v>
      </c>
      <c r="D4254" s="2">
        <v>1</v>
      </c>
      <c r="E4254" t="str">
        <f>"4574674200847069"</f>
        <v>4574674200847069</v>
      </c>
      <c r="F4254" t="str">
        <f>"099"</f>
        <v>099</v>
      </c>
      <c r="G4254">
        <v>1</v>
      </c>
      <c r="H4254">
        <v>2023</v>
      </c>
      <c r="I4254" t="s">
        <v>4369</v>
      </c>
    </row>
    <row r="4255" spans="1:9" x14ac:dyDescent="0.3">
      <c r="A4255" t="s">
        <v>10131</v>
      </c>
      <c r="B4255" t="s">
        <v>23</v>
      </c>
      <c r="C4255">
        <v>7648876604</v>
      </c>
      <c r="D4255" s="2">
        <v>1</v>
      </c>
      <c r="E4255" t="str">
        <f>"4574674200847093"</f>
        <v>4574674200847093</v>
      </c>
      <c r="F4255" t="str">
        <f>"070"</f>
        <v>070</v>
      </c>
      <c r="G4255">
        <v>1</v>
      </c>
      <c r="H4255">
        <v>2023</v>
      </c>
      <c r="I4255" t="s">
        <v>4370</v>
      </c>
    </row>
    <row r="4256" spans="1:9" x14ac:dyDescent="0.3">
      <c r="A4256" t="s">
        <v>10131</v>
      </c>
      <c r="B4256" t="s">
        <v>23</v>
      </c>
      <c r="C4256">
        <v>7648876604</v>
      </c>
      <c r="D4256" s="2">
        <v>1</v>
      </c>
      <c r="E4256" t="str">
        <f>"4574674200846871"</f>
        <v>4574674200846871</v>
      </c>
      <c r="F4256" t="str">
        <f>"710"</f>
        <v>710</v>
      </c>
      <c r="G4256">
        <v>1</v>
      </c>
      <c r="H4256">
        <v>2023</v>
      </c>
      <c r="I4256" t="s">
        <v>4371</v>
      </c>
    </row>
    <row r="4257" spans="1:9" x14ac:dyDescent="0.3">
      <c r="A4257" t="s">
        <v>10131</v>
      </c>
      <c r="B4257" t="s">
        <v>23</v>
      </c>
      <c r="C4257">
        <v>7648876604</v>
      </c>
      <c r="D4257" s="2">
        <v>1</v>
      </c>
      <c r="E4257" t="str">
        <f>"4574674200846863"</f>
        <v>4574674200846863</v>
      </c>
      <c r="F4257" t="str">
        <f>"883"</f>
        <v>883</v>
      </c>
      <c r="G4257">
        <v>1</v>
      </c>
      <c r="H4257">
        <v>2023</v>
      </c>
      <c r="I4257" t="s">
        <v>4372</v>
      </c>
    </row>
    <row r="4258" spans="1:9" x14ac:dyDescent="0.3">
      <c r="A4258" t="s">
        <v>10131</v>
      </c>
      <c r="B4258" t="s">
        <v>23</v>
      </c>
      <c r="C4258">
        <v>7648876604</v>
      </c>
      <c r="D4258" s="2">
        <v>1</v>
      </c>
      <c r="E4258" t="str">
        <f>"4574674200846913"</f>
        <v>4574674200846913</v>
      </c>
      <c r="F4258" t="str">
        <f>"730"</f>
        <v>730</v>
      </c>
      <c r="G4258">
        <v>1</v>
      </c>
      <c r="H4258">
        <v>2023</v>
      </c>
      <c r="I4258" t="s">
        <v>4373</v>
      </c>
    </row>
    <row r="4259" spans="1:9" x14ac:dyDescent="0.3">
      <c r="A4259" t="s">
        <v>10132</v>
      </c>
      <c r="B4259" t="s">
        <v>24</v>
      </c>
      <c r="C4259">
        <v>7648876604</v>
      </c>
      <c r="D4259" s="2">
        <v>1</v>
      </c>
      <c r="E4259" t="str">
        <f>"4574674200846921"</f>
        <v>4574674200846921</v>
      </c>
      <c r="F4259" t="str">
        <f>"401"</f>
        <v>401</v>
      </c>
      <c r="G4259">
        <v>1</v>
      </c>
      <c r="H4259">
        <v>2023</v>
      </c>
      <c r="I4259" t="s">
        <v>4374</v>
      </c>
    </row>
    <row r="4260" spans="1:9" x14ac:dyDescent="0.3">
      <c r="A4260" t="s">
        <v>10132</v>
      </c>
      <c r="B4260" t="s">
        <v>24</v>
      </c>
      <c r="C4260">
        <v>7648876604</v>
      </c>
      <c r="D4260" s="2">
        <v>1</v>
      </c>
      <c r="E4260" t="str">
        <f>"4574674200847226"</f>
        <v>4574674200847226</v>
      </c>
      <c r="F4260" t="str">
        <f>"906"</f>
        <v>906</v>
      </c>
      <c r="G4260">
        <v>1</v>
      </c>
      <c r="H4260">
        <v>2023</v>
      </c>
      <c r="I4260" t="s">
        <v>4375</v>
      </c>
    </row>
    <row r="4261" spans="1:9" x14ac:dyDescent="0.3">
      <c r="A4261" t="s">
        <v>10132</v>
      </c>
      <c r="B4261" t="s">
        <v>24</v>
      </c>
      <c r="C4261">
        <v>7648876604</v>
      </c>
      <c r="D4261" s="2">
        <v>1</v>
      </c>
      <c r="E4261" t="str">
        <f>"4574674200847259"</f>
        <v>4574674200847259</v>
      </c>
      <c r="F4261" t="str">
        <f>"705"</f>
        <v>705</v>
      </c>
      <c r="G4261">
        <v>1</v>
      </c>
      <c r="H4261">
        <v>2023</v>
      </c>
      <c r="I4261" t="s">
        <v>4376</v>
      </c>
    </row>
    <row r="4262" spans="1:9" x14ac:dyDescent="0.3">
      <c r="A4262" t="s">
        <v>10132</v>
      </c>
      <c r="B4262" t="s">
        <v>24</v>
      </c>
      <c r="C4262">
        <v>7648876604</v>
      </c>
      <c r="D4262" s="2">
        <v>1</v>
      </c>
      <c r="E4262" t="str">
        <f>"4574674200846947"</f>
        <v>4574674200846947</v>
      </c>
      <c r="F4262" t="str">
        <f>"463"</f>
        <v>463</v>
      </c>
      <c r="G4262">
        <v>1</v>
      </c>
      <c r="H4262">
        <v>2023</v>
      </c>
      <c r="I4262" t="s">
        <v>4377</v>
      </c>
    </row>
    <row r="4263" spans="1:9" x14ac:dyDescent="0.3">
      <c r="A4263" t="s">
        <v>10132</v>
      </c>
      <c r="B4263" t="s">
        <v>24</v>
      </c>
      <c r="C4263">
        <v>7648876604</v>
      </c>
      <c r="D4263" s="2">
        <v>1</v>
      </c>
      <c r="E4263" t="str">
        <f>"4574674200847416"</f>
        <v>4574674200847416</v>
      </c>
      <c r="F4263" t="str">
        <f>"879"</f>
        <v>879</v>
      </c>
      <c r="G4263">
        <v>1</v>
      </c>
      <c r="H4263">
        <v>2023</v>
      </c>
      <c r="I4263" t="s">
        <v>4378</v>
      </c>
    </row>
    <row r="4264" spans="1:9" x14ac:dyDescent="0.3">
      <c r="A4264" t="s">
        <v>10132</v>
      </c>
      <c r="B4264" t="s">
        <v>24</v>
      </c>
      <c r="C4264">
        <v>7648876604</v>
      </c>
      <c r="D4264" s="2">
        <v>1</v>
      </c>
      <c r="E4264" t="str">
        <f>"4574674200847408"</f>
        <v>4574674200847408</v>
      </c>
      <c r="F4264" t="str">
        <f>"089"</f>
        <v>089</v>
      </c>
      <c r="G4264">
        <v>1</v>
      </c>
      <c r="H4264">
        <v>2023</v>
      </c>
      <c r="I4264" t="s">
        <v>4379</v>
      </c>
    </row>
    <row r="4265" spans="1:9" x14ac:dyDescent="0.3">
      <c r="A4265" t="s">
        <v>10132</v>
      </c>
      <c r="B4265" t="s">
        <v>24</v>
      </c>
      <c r="C4265">
        <v>7648876604</v>
      </c>
      <c r="D4265" s="2">
        <v>1</v>
      </c>
      <c r="E4265" t="str">
        <f>"4574674200846970"</f>
        <v>4574674200846970</v>
      </c>
      <c r="F4265" t="str">
        <f>"807"</f>
        <v>807</v>
      </c>
      <c r="G4265">
        <v>1</v>
      </c>
      <c r="H4265">
        <v>2023</v>
      </c>
      <c r="I4265" t="s">
        <v>4380</v>
      </c>
    </row>
    <row r="4266" spans="1:9" x14ac:dyDescent="0.3">
      <c r="A4266" t="s">
        <v>10132</v>
      </c>
      <c r="B4266" t="s">
        <v>24</v>
      </c>
      <c r="C4266">
        <v>7648876604</v>
      </c>
      <c r="D4266" s="2">
        <v>1</v>
      </c>
      <c r="E4266" t="str">
        <f>"4574674200847606"</f>
        <v>4574674200847606</v>
      </c>
      <c r="F4266" t="str">
        <f>"385"</f>
        <v>385</v>
      </c>
      <c r="G4266">
        <v>1</v>
      </c>
      <c r="H4266">
        <v>2023</v>
      </c>
      <c r="I4266" t="s">
        <v>4381</v>
      </c>
    </row>
    <row r="4267" spans="1:9" x14ac:dyDescent="0.3">
      <c r="A4267" t="s">
        <v>10132</v>
      </c>
      <c r="B4267" t="s">
        <v>24</v>
      </c>
      <c r="C4267">
        <v>7648876604</v>
      </c>
      <c r="D4267" s="2">
        <v>1</v>
      </c>
      <c r="E4267" t="str">
        <f>"4574674200847622"</f>
        <v>4574674200847622</v>
      </c>
      <c r="F4267" t="str">
        <f>"533"</f>
        <v>533</v>
      </c>
      <c r="G4267">
        <v>1</v>
      </c>
      <c r="H4267">
        <v>2023</v>
      </c>
      <c r="I4267" t="s">
        <v>4382</v>
      </c>
    </row>
    <row r="4268" spans="1:9" x14ac:dyDescent="0.3">
      <c r="A4268" t="s">
        <v>10132</v>
      </c>
      <c r="B4268" t="s">
        <v>24</v>
      </c>
      <c r="C4268">
        <v>7648876604</v>
      </c>
      <c r="D4268" s="2">
        <v>1</v>
      </c>
      <c r="E4268" t="str">
        <f>"4574674200847630"</f>
        <v>4574674200847630</v>
      </c>
      <c r="F4268" t="str">
        <f>"853"</f>
        <v>853</v>
      </c>
      <c r="G4268">
        <v>1</v>
      </c>
      <c r="H4268">
        <v>2023</v>
      </c>
      <c r="I4268" t="s">
        <v>4383</v>
      </c>
    </row>
    <row r="4269" spans="1:9" x14ac:dyDescent="0.3">
      <c r="A4269" t="s">
        <v>10133</v>
      </c>
      <c r="B4269" t="s">
        <v>25</v>
      </c>
      <c r="C4269">
        <v>7648876604</v>
      </c>
      <c r="D4269" s="2">
        <v>1</v>
      </c>
      <c r="E4269" t="str">
        <f>"4574674200847556"</f>
        <v>4574674200847556</v>
      </c>
      <c r="F4269" t="str">
        <f>"679"</f>
        <v>679</v>
      </c>
      <c r="G4269">
        <v>1</v>
      </c>
      <c r="H4269">
        <v>2023</v>
      </c>
      <c r="I4269" t="s">
        <v>4384</v>
      </c>
    </row>
    <row r="4270" spans="1:9" x14ac:dyDescent="0.3">
      <c r="A4270" t="s">
        <v>10133</v>
      </c>
      <c r="B4270" t="s">
        <v>25</v>
      </c>
      <c r="C4270">
        <v>7648876604</v>
      </c>
      <c r="D4270" s="2">
        <v>1</v>
      </c>
      <c r="E4270" t="str">
        <f>"4574674200847580"</f>
        <v>4574674200847580</v>
      </c>
      <c r="F4270" t="str">
        <f>"744"</f>
        <v>744</v>
      </c>
      <c r="G4270">
        <v>1</v>
      </c>
      <c r="H4270">
        <v>2023</v>
      </c>
      <c r="I4270" t="s">
        <v>4385</v>
      </c>
    </row>
    <row r="4271" spans="1:9" x14ac:dyDescent="0.3">
      <c r="A4271" t="s">
        <v>10133</v>
      </c>
      <c r="B4271" t="s">
        <v>25</v>
      </c>
      <c r="C4271">
        <v>7648876604</v>
      </c>
      <c r="D4271" s="2">
        <v>1</v>
      </c>
      <c r="E4271" t="str">
        <f>"4574674200847663"</f>
        <v>4574674200847663</v>
      </c>
      <c r="F4271" t="str">
        <f>"653"</f>
        <v>653</v>
      </c>
      <c r="G4271">
        <v>1</v>
      </c>
      <c r="H4271">
        <v>2023</v>
      </c>
      <c r="I4271" t="s">
        <v>4386</v>
      </c>
    </row>
    <row r="4272" spans="1:9" x14ac:dyDescent="0.3">
      <c r="A4272" t="s">
        <v>10133</v>
      </c>
      <c r="B4272" t="s">
        <v>25</v>
      </c>
      <c r="C4272">
        <v>7648876604</v>
      </c>
      <c r="D4272" s="2">
        <v>1</v>
      </c>
      <c r="E4272" t="str">
        <f>"4574674200847689"</f>
        <v>4574674200847689</v>
      </c>
      <c r="F4272" t="str">
        <f>"102"</f>
        <v>102</v>
      </c>
      <c r="G4272">
        <v>1</v>
      </c>
      <c r="H4272">
        <v>2023</v>
      </c>
      <c r="I4272" t="s">
        <v>4387</v>
      </c>
    </row>
    <row r="4273" spans="1:9" x14ac:dyDescent="0.3">
      <c r="A4273" t="s">
        <v>10133</v>
      </c>
      <c r="B4273" t="s">
        <v>25</v>
      </c>
      <c r="C4273">
        <v>7648876604</v>
      </c>
      <c r="D4273" s="2">
        <v>1</v>
      </c>
      <c r="E4273" t="str">
        <f>"4574674200847911"</f>
        <v>4574674200847911</v>
      </c>
      <c r="F4273" t="str">
        <f>"092"</f>
        <v>092</v>
      </c>
      <c r="G4273">
        <v>1</v>
      </c>
      <c r="H4273">
        <v>2023</v>
      </c>
      <c r="I4273" t="s">
        <v>4388</v>
      </c>
    </row>
    <row r="4274" spans="1:9" x14ac:dyDescent="0.3">
      <c r="A4274" t="s">
        <v>10133</v>
      </c>
      <c r="B4274" t="s">
        <v>25</v>
      </c>
      <c r="C4274">
        <v>7648876604</v>
      </c>
      <c r="D4274" s="2">
        <v>1</v>
      </c>
      <c r="E4274" t="str">
        <f>"4574674200847747"</f>
        <v>4574674200847747</v>
      </c>
      <c r="F4274" t="str">
        <f>"393"</f>
        <v>393</v>
      </c>
      <c r="G4274">
        <v>1</v>
      </c>
      <c r="H4274">
        <v>2023</v>
      </c>
      <c r="I4274" t="s">
        <v>4389</v>
      </c>
    </row>
    <row r="4275" spans="1:9" x14ac:dyDescent="0.3">
      <c r="A4275" t="s">
        <v>10133</v>
      </c>
      <c r="B4275" t="s">
        <v>25</v>
      </c>
      <c r="C4275">
        <v>7648876604</v>
      </c>
      <c r="D4275" s="2">
        <v>1</v>
      </c>
      <c r="E4275" t="str">
        <f>"4574674200847739"</f>
        <v>4574674200847739</v>
      </c>
      <c r="F4275" t="str">
        <f>"828"</f>
        <v>828</v>
      </c>
      <c r="G4275">
        <v>1</v>
      </c>
      <c r="H4275">
        <v>2023</v>
      </c>
      <c r="I4275" t="s">
        <v>4390</v>
      </c>
    </row>
    <row r="4276" spans="1:9" x14ac:dyDescent="0.3">
      <c r="A4276" t="s">
        <v>10133</v>
      </c>
      <c r="B4276" t="s">
        <v>25</v>
      </c>
      <c r="C4276">
        <v>7648876604</v>
      </c>
      <c r="D4276" s="2">
        <v>1</v>
      </c>
      <c r="E4276" t="str">
        <f>"4574674200847754"</f>
        <v>4574674200847754</v>
      </c>
      <c r="F4276" t="str">
        <f>"858"</f>
        <v>858</v>
      </c>
      <c r="G4276">
        <v>1</v>
      </c>
      <c r="H4276">
        <v>2023</v>
      </c>
      <c r="I4276" t="s">
        <v>4391</v>
      </c>
    </row>
    <row r="4277" spans="1:9" x14ac:dyDescent="0.3">
      <c r="A4277" t="s">
        <v>10133</v>
      </c>
      <c r="B4277" t="s">
        <v>25</v>
      </c>
      <c r="C4277">
        <v>7648876604</v>
      </c>
      <c r="D4277" s="2">
        <v>1</v>
      </c>
      <c r="E4277" t="str">
        <f>"4574674200847952"</f>
        <v>4574674200847952</v>
      </c>
      <c r="F4277" t="str">
        <f>"187"</f>
        <v>187</v>
      </c>
      <c r="G4277">
        <v>1</v>
      </c>
      <c r="H4277">
        <v>2023</v>
      </c>
      <c r="I4277" t="s">
        <v>4392</v>
      </c>
    </row>
    <row r="4278" spans="1:9" x14ac:dyDescent="0.3">
      <c r="A4278" t="s">
        <v>10133</v>
      </c>
      <c r="B4278" t="s">
        <v>25</v>
      </c>
      <c r="C4278">
        <v>7648876604</v>
      </c>
      <c r="D4278" s="2">
        <v>1</v>
      </c>
      <c r="E4278" t="str">
        <f>"4574674200848059"</f>
        <v>4574674200848059</v>
      </c>
      <c r="F4278" t="str">
        <f>"812"</f>
        <v>812</v>
      </c>
      <c r="G4278">
        <v>1</v>
      </c>
      <c r="H4278">
        <v>2023</v>
      </c>
      <c r="I4278" t="s">
        <v>4393</v>
      </c>
    </row>
    <row r="4279" spans="1:9" x14ac:dyDescent="0.3">
      <c r="A4279" t="s">
        <v>10134</v>
      </c>
      <c r="B4279" t="s">
        <v>26</v>
      </c>
      <c r="C4279">
        <v>7648876604</v>
      </c>
      <c r="D4279" s="2">
        <v>1</v>
      </c>
      <c r="E4279" t="str">
        <f>"4574674200847788"</f>
        <v>4574674200847788</v>
      </c>
      <c r="F4279" t="str">
        <f>"201"</f>
        <v>201</v>
      </c>
      <c r="G4279">
        <v>1</v>
      </c>
      <c r="H4279">
        <v>2023</v>
      </c>
      <c r="I4279" t="s">
        <v>4394</v>
      </c>
    </row>
    <row r="4280" spans="1:9" x14ac:dyDescent="0.3">
      <c r="A4280" t="s">
        <v>10134</v>
      </c>
      <c r="B4280" t="s">
        <v>26</v>
      </c>
      <c r="C4280">
        <v>7648876604</v>
      </c>
      <c r="D4280" s="2">
        <v>1</v>
      </c>
      <c r="E4280" t="str">
        <f>"4574674200848125"</f>
        <v>4574674200848125</v>
      </c>
      <c r="F4280" t="str">
        <f>"171"</f>
        <v>171</v>
      </c>
      <c r="G4280">
        <v>1</v>
      </c>
      <c r="H4280">
        <v>2023</v>
      </c>
      <c r="I4280" t="s">
        <v>4395</v>
      </c>
    </row>
    <row r="4281" spans="1:9" x14ac:dyDescent="0.3">
      <c r="A4281" t="s">
        <v>10134</v>
      </c>
      <c r="B4281" t="s">
        <v>26</v>
      </c>
      <c r="C4281">
        <v>7648876604</v>
      </c>
      <c r="D4281" s="2">
        <v>1</v>
      </c>
      <c r="E4281" t="str">
        <f>"4574674200848265"</f>
        <v>4574674200848265</v>
      </c>
      <c r="F4281" t="str">
        <f>"527"</f>
        <v>527</v>
      </c>
      <c r="G4281">
        <v>1</v>
      </c>
      <c r="H4281">
        <v>2023</v>
      </c>
      <c r="I4281" t="s">
        <v>4396</v>
      </c>
    </row>
    <row r="4282" spans="1:9" x14ac:dyDescent="0.3">
      <c r="A4282" t="s">
        <v>10134</v>
      </c>
      <c r="B4282" t="s">
        <v>26</v>
      </c>
      <c r="C4282">
        <v>7648876604</v>
      </c>
      <c r="D4282" s="2">
        <v>1</v>
      </c>
      <c r="E4282" t="str">
        <f>"4574674200848273"</f>
        <v>4574674200848273</v>
      </c>
      <c r="F4282" t="str">
        <f>"066"</f>
        <v>066</v>
      </c>
      <c r="G4282">
        <v>1</v>
      </c>
      <c r="H4282">
        <v>2023</v>
      </c>
      <c r="I4282" t="s">
        <v>4397</v>
      </c>
    </row>
    <row r="4283" spans="1:9" x14ac:dyDescent="0.3">
      <c r="A4283" t="s">
        <v>10134</v>
      </c>
      <c r="B4283" t="s">
        <v>26</v>
      </c>
      <c r="C4283">
        <v>7648876604</v>
      </c>
      <c r="D4283" s="2">
        <v>1</v>
      </c>
      <c r="E4283" t="str">
        <f>"4574674200849446"</f>
        <v>4574674200849446</v>
      </c>
      <c r="F4283" t="str">
        <f>"460"</f>
        <v>460</v>
      </c>
      <c r="G4283">
        <v>1</v>
      </c>
      <c r="H4283">
        <v>2023</v>
      </c>
      <c r="I4283" t="s">
        <v>4398</v>
      </c>
    </row>
    <row r="4284" spans="1:9" x14ac:dyDescent="0.3">
      <c r="A4284" t="s">
        <v>10134</v>
      </c>
      <c r="B4284" t="s">
        <v>26</v>
      </c>
      <c r="C4284">
        <v>7648876604</v>
      </c>
      <c r="D4284" s="2">
        <v>1</v>
      </c>
      <c r="E4284" t="str">
        <f>"4574674200849297"</f>
        <v>4574674200849297</v>
      </c>
      <c r="F4284" t="str">
        <f>"847"</f>
        <v>847</v>
      </c>
      <c r="G4284">
        <v>1</v>
      </c>
      <c r="H4284">
        <v>2023</v>
      </c>
      <c r="I4284" t="s">
        <v>4399</v>
      </c>
    </row>
    <row r="4285" spans="1:9" x14ac:dyDescent="0.3">
      <c r="A4285" t="s">
        <v>10134</v>
      </c>
      <c r="B4285" t="s">
        <v>26</v>
      </c>
      <c r="C4285">
        <v>7648876604</v>
      </c>
      <c r="D4285" s="2">
        <v>1</v>
      </c>
      <c r="E4285" t="str">
        <f>"4574674200849461"</f>
        <v>4574674200849461</v>
      </c>
      <c r="F4285" t="str">
        <f>"290"</f>
        <v>290</v>
      </c>
      <c r="G4285">
        <v>1</v>
      </c>
      <c r="H4285">
        <v>2023</v>
      </c>
      <c r="I4285" t="s">
        <v>4400</v>
      </c>
    </row>
    <row r="4286" spans="1:9" x14ac:dyDescent="0.3">
      <c r="A4286" t="s">
        <v>10134</v>
      </c>
      <c r="B4286" t="s">
        <v>26</v>
      </c>
      <c r="C4286">
        <v>7648876604</v>
      </c>
      <c r="D4286" s="2">
        <v>1</v>
      </c>
      <c r="E4286" t="str">
        <f>"4574674200849453"</f>
        <v>4574674200849453</v>
      </c>
      <c r="F4286" t="str">
        <f>"272"</f>
        <v>272</v>
      </c>
      <c r="G4286">
        <v>1</v>
      </c>
      <c r="H4286">
        <v>2023</v>
      </c>
      <c r="I4286" t="s">
        <v>4401</v>
      </c>
    </row>
    <row r="4287" spans="1:9" x14ac:dyDescent="0.3">
      <c r="A4287" t="s">
        <v>10134</v>
      </c>
      <c r="B4287" t="s">
        <v>26</v>
      </c>
      <c r="C4287">
        <v>7648876604</v>
      </c>
      <c r="D4287" s="2">
        <v>1</v>
      </c>
      <c r="E4287" t="str">
        <f>"4574674200849479"</f>
        <v>4574674200849479</v>
      </c>
      <c r="F4287" t="str">
        <f>"413"</f>
        <v>413</v>
      </c>
      <c r="G4287">
        <v>1</v>
      </c>
      <c r="H4287">
        <v>2023</v>
      </c>
      <c r="I4287" t="s">
        <v>4402</v>
      </c>
    </row>
    <row r="4288" spans="1:9" x14ac:dyDescent="0.3">
      <c r="A4288" t="s">
        <v>10134</v>
      </c>
      <c r="B4288" t="s">
        <v>26</v>
      </c>
      <c r="C4288">
        <v>7648876604</v>
      </c>
      <c r="D4288" s="2">
        <v>1</v>
      </c>
      <c r="E4288" t="str">
        <f>"4574674200849396"</f>
        <v>4574674200849396</v>
      </c>
      <c r="F4288" t="str">
        <f>"528"</f>
        <v>528</v>
      </c>
      <c r="G4288">
        <v>1</v>
      </c>
      <c r="H4288">
        <v>2023</v>
      </c>
      <c r="I4288" t="s">
        <v>4403</v>
      </c>
    </row>
    <row r="4289" spans="1:9" x14ac:dyDescent="0.3">
      <c r="A4289" t="s">
        <v>10135</v>
      </c>
      <c r="B4289" t="s">
        <v>27</v>
      </c>
      <c r="C4289">
        <v>7648876604</v>
      </c>
      <c r="D4289" s="2">
        <v>1</v>
      </c>
      <c r="E4289" t="str">
        <f>"4574674200849503"</f>
        <v>4574674200849503</v>
      </c>
      <c r="F4289" t="str">
        <f>"839"</f>
        <v>839</v>
      </c>
      <c r="G4289">
        <v>1</v>
      </c>
      <c r="H4289">
        <v>2023</v>
      </c>
      <c r="I4289" t="s">
        <v>4404</v>
      </c>
    </row>
    <row r="4290" spans="1:9" x14ac:dyDescent="0.3">
      <c r="A4290" t="s">
        <v>10135</v>
      </c>
      <c r="B4290" t="s">
        <v>27</v>
      </c>
      <c r="C4290">
        <v>7648876604</v>
      </c>
      <c r="D4290" s="2">
        <v>1</v>
      </c>
      <c r="E4290" t="str">
        <f>"4574674200849537"</f>
        <v>4574674200849537</v>
      </c>
      <c r="F4290" t="str">
        <f>"873"</f>
        <v>873</v>
      </c>
      <c r="G4290">
        <v>1</v>
      </c>
      <c r="H4290">
        <v>2023</v>
      </c>
      <c r="I4290" t="s">
        <v>4405</v>
      </c>
    </row>
    <row r="4291" spans="1:9" x14ac:dyDescent="0.3">
      <c r="A4291" t="s">
        <v>10135</v>
      </c>
      <c r="B4291" t="s">
        <v>27</v>
      </c>
      <c r="C4291">
        <v>7648876604</v>
      </c>
      <c r="D4291" s="2">
        <v>1</v>
      </c>
      <c r="E4291" t="str">
        <f>"4574674200849768"</f>
        <v>4574674200849768</v>
      </c>
      <c r="F4291" t="str">
        <f>"086"</f>
        <v>086</v>
      </c>
      <c r="G4291">
        <v>1</v>
      </c>
      <c r="H4291">
        <v>2023</v>
      </c>
      <c r="I4291" t="s">
        <v>4406</v>
      </c>
    </row>
    <row r="4292" spans="1:9" x14ac:dyDescent="0.3">
      <c r="A4292" t="s">
        <v>10135</v>
      </c>
      <c r="B4292" t="s">
        <v>27</v>
      </c>
      <c r="C4292">
        <v>7648876604</v>
      </c>
      <c r="D4292" s="2">
        <v>1</v>
      </c>
      <c r="E4292" t="str">
        <f>"4574674200849552"</f>
        <v>4574674200849552</v>
      </c>
      <c r="F4292" t="str">
        <f>"817"</f>
        <v>817</v>
      </c>
      <c r="G4292">
        <v>1</v>
      </c>
      <c r="H4292">
        <v>2023</v>
      </c>
      <c r="I4292" t="s">
        <v>4407</v>
      </c>
    </row>
    <row r="4293" spans="1:9" x14ac:dyDescent="0.3">
      <c r="A4293" t="s">
        <v>10135</v>
      </c>
      <c r="B4293" t="s">
        <v>27</v>
      </c>
      <c r="C4293">
        <v>7648876604</v>
      </c>
      <c r="D4293" s="2">
        <v>1</v>
      </c>
      <c r="E4293" t="str">
        <f>"4574674200849545"</f>
        <v>4574674200849545</v>
      </c>
      <c r="F4293" t="str">
        <f>"171"</f>
        <v>171</v>
      </c>
      <c r="G4293">
        <v>1</v>
      </c>
      <c r="H4293">
        <v>2023</v>
      </c>
      <c r="I4293" t="s">
        <v>4408</v>
      </c>
    </row>
    <row r="4294" spans="1:9" x14ac:dyDescent="0.3">
      <c r="A4294" t="s">
        <v>10135</v>
      </c>
      <c r="B4294" t="s">
        <v>27</v>
      </c>
      <c r="C4294">
        <v>7648876604</v>
      </c>
      <c r="D4294" s="2">
        <v>1</v>
      </c>
      <c r="E4294" t="str">
        <f>"4574674200849586"</f>
        <v>4574674200849586</v>
      </c>
      <c r="F4294" t="str">
        <f>"331"</f>
        <v>331</v>
      </c>
      <c r="G4294">
        <v>1</v>
      </c>
      <c r="H4294">
        <v>2023</v>
      </c>
      <c r="I4294" t="s">
        <v>4409</v>
      </c>
    </row>
    <row r="4295" spans="1:9" x14ac:dyDescent="0.3">
      <c r="A4295" t="s">
        <v>10135</v>
      </c>
      <c r="B4295" t="s">
        <v>27</v>
      </c>
      <c r="C4295">
        <v>7648876604</v>
      </c>
      <c r="D4295" s="2">
        <v>1</v>
      </c>
      <c r="E4295" t="str">
        <f>"4574674200849784"</f>
        <v>4574674200849784</v>
      </c>
      <c r="F4295" t="str">
        <f>"922"</f>
        <v>922</v>
      </c>
      <c r="G4295">
        <v>1</v>
      </c>
      <c r="H4295">
        <v>2023</v>
      </c>
      <c r="I4295" t="s">
        <v>4410</v>
      </c>
    </row>
    <row r="4296" spans="1:9" x14ac:dyDescent="0.3">
      <c r="A4296" t="s">
        <v>10135</v>
      </c>
      <c r="B4296" t="s">
        <v>27</v>
      </c>
      <c r="C4296">
        <v>7648876604</v>
      </c>
      <c r="D4296" s="2">
        <v>1</v>
      </c>
      <c r="E4296" t="str">
        <f>"4574674200849818"</f>
        <v>4574674200849818</v>
      </c>
      <c r="F4296" t="str">
        <f>"366"</f>
        <v>366</v>
      </c>
      <c r="G4296">
        <v>1</v>
      </c>
      <c r="H4296">
        <v>2023</v>
      </c>
      <c r="I4296" t="s">
        <v>4411</v>
      </c>
    </row>
    <row r="4297" spans="1:9" x14ac:dyDescent="0.3">
      <c r="A4297" t="s">
        <v>10135</v>
      </c>
      <c r="B4297" t="s">
        <v>27</v>
      </c>
      <c r="C4297">
        <v>7648876604</v>
      </c>
      <c r="D4297" s="2">
        <v>1</v>
      </c>
      <c r="E4297" t="str">
        <f>"4574674200850063"</f>
        <v>4574674200850063</v>
      </c>
      <c r="F4297" t="str">
        <f>"528"</f>
        <v>528</v>
      </c>
      <c r="G4297">
        <v>1</v>
      </c>
      <c r="H4297">
        <v>2023</v>
      </c>
      <c r="I4297" t="s">
        <v>4412</v>
      </c>
    </row>
    <row r="4298" spans="1:9" x14ac:dyDescent="0.3">
      <c r="A4298" t="s">
        <v>10135</v>
      </c>
      <c r="B4298" t="s">
        <v>27</v>
      </c>
      <c r="C4298">
        <v>7648876604</v>
      </c>
      <c r="D4298" s="2">
        <v>1</v>
      </c>
      <c r="E4298" t="str">
        <f>"4574674200849859"</f>
        <v>4574674200849859</v>
      </c>
      <c r="F4298" t="str">
        <f>"137"</f>
        <v>137</v>
      </c>
      <c r="G4298">
        <v>1</v>
      </c>
      <c r="H4298">
        <v>2023</v>
      </c>
      <c r="I4298" t="s">
        <v>4413</v>
      </c>
    </row>
    <row r="4299" spans="1:9" x14ac:dyDescent="0.3">
      <c r="A4299" t="s">
        <v>10136</v>
      </c>
      <c r="B4299" t="s">
        <v>28</v>
      </c>
      <c r="C4299">
        <v>7648876604</v>
      </c>
      <c r="D4299" s="2">
        <v>1</v>
      </c>
      <c r="E4299" t="str">
        <f>"4574674200850147"</f>
        <v>4574674200850147</v>
      </c>
      <c r="F4299" t="str">
        <f>"984"</f>
        <v>984</v>
      </c>
      <c r="G4299">
        <v>1</v>
      </c>
      <c r="H4299">
        <v>2023</v>
      </c>
      <c r="I4299" t="s">
        <v>4414</v>
      </c>
    </row>
    <row r="4300" spans="1:9" x14ac:dyDescent="0.3">
      <c r="A4300" t="s">
        <v>10136</v>
      </c>
      <c r="B4300" t="s">
        <v>28</v>
      </c>
      <c r="C4300">
        <v>7648876604</v>
      </c>
      <c r="D4300" s="2">
        <v>1</v>
      </c>
      <c r="E4300" t="str">
        <f>"4574674200849883"</f>
        <v>4574674200849883</v>
      </c>
      <c r="F4300" t="str">
        <f>"730"</f>
        <v>730</v>
      </c>
      <c r="G4300">
        <v>1</v>
      </c>
      <c r="H4300">
        <v>2023</v>
      </c>
      <c r="I4300" t="s">
        <v>4415</v>
      </c>
    </row>
    <row r="4301" spans="1:9" x14ac:dyDescent="0.3">
      <c r="A4301" t="s">
        <v>10136</v>
      </c>
      <c r="B4301" t="s">
        <v>28</v>
      </c>
      <c r="C4301">
        <v>7648876604</v>
      </c>
      <c r="D4301" s="2">
        <v>1</v>
      </c>
      <c r="E4301" t="str">
        <f>"4574674200849891"</f>
        <v>4574674200849891</v>
      </c>
      <c r="F4301" t="str">
        <f>"518"</f>
        <v>518</v>
      </c>
      <c r="G4301">
        <v>1</v>
      </c>
      <c r="H4301">
        <v>2023</v>
      </c>
      <c r="I4301" t="s">
        <v>4416</v>
      </c>
    </row>
    <row r="4302" spans="1:9" x14ac:dyDescent="0.3">
      <c r="A4302" t="s">
        <v>10136</v>
      </c>
      <c r="B4302" t="s">
        <v>28</v>
      </c>
      <c r="C4302">
        <v>7648876604</v>
      </c>
      <c r="D4302" s="2">
        <v>1</v>
      </c>
      <c r="E4302" t="str">
        <f>"4574674200849909"</f>
        <v>4574674200849909</v>
      </c>
      <c r="F4302" t="str">
        <f>"968"</f>
        <v>968</v>
      </c>
      <c r="G4302">
        <v>1</v>
      </c>
      <c r="H4302">
        <v>2023</v>
      </c>
      <c r="I4302" t="s">
        <v>4417</v>
      </c>
    </row>
    <row r="4303" spans="1:9" x14ac:dyDescent="0.3">
      <c r="A4303" t="s">
        <v>10136</v>
      </c>
      <c r="B4303" t="s">
        <v>28</v>
      </c>
      <c r="C4303">
        <v>7648876604</v>
      </c>
      <c r="D4303" s="2">
        <v>1</v>
      </c>
      <c r="E4303" t="str">
        <f>"4574674200850279"</f>
        <v>4574674200850279</v>
      </c>
      <c r="F4303" t="str">
        <f>"474"</f>
        <v>474</v>
      </c>
      <c r="G4303">
        <v>1</v>
      </c>
      <c r="H4303">
        <v>2023</v>
      </c>
      <c r="I4303" t="s">
        <v>4418</v>
      </c>
    </row>
    <row r="4304" spans="1:9" x14ac:dyDescent="0.3">
      <c r="A4304" t="s">
        <v>10136</v>
      </c>
      <c r="B4304" t="s">
        <v>28</v>
      </c>
      <c r="C4304">
        <v>7648876604</v>
      </c>
      <c r="D4304" s="2">
        <v>1</v>
      </c>
      <c r="E4304" t="str">
        <f>"4574674200849933"</f>
        <v>4574674200849933</v>
      </c>
      <c r="F4304" t="str">
        <f>"363"</f>
        <v>363</v>
      </c>
      <c r="G4304">
        <v>1</v>
      </c>
      <c r="H4304">
        <v>2023</v>
      </c>
      <c r="I4304" t="s">
        <v>4419</v>
      </c>
    </row>
    <row r="4305" spans="1:9" x14ac:dyDescent="0.3">
      <c r="A4305" t="s">
        <v>10136</v>
      </c>
      <c r="B4305" t="s">
        <v>28</v>
      </c>
      <c r="C4305">
        <v>7648876604</v>
      </c>
      <c r="D4305" s="2">
        <v>1</v>
      </c>
      <c r="E4305" t="str">
        <f>"4574674200850311"</f>
        <v>4574674200850311</v>
      </c>
      <c r="F4305" t="str">
        <f>"741"</f>
        <v>741</v>
      </c>
      <c r="G4305">
        <v>1</v>
      </c>
      <c r="H4305">
        <v>2023</v>
      </c>
      <c r="I4305" t="s">
        <v>4420</v>
      </c>
    </row>
    <row r="4306" spans="1:9" x14ac:dyDescent="0.3">
      <c r="A4306" t="s">
        <v>10136</v>
      </c>
      <c r="B4306" t="s">
        <v>28</v>
      </c>
      <c r="C4306">
        <v>7648876604</v>
      </c>
      <c r="D4306" s="2">
        <v>1</v>
      </c>
      <c r="E4306" t="str">
        <f>"4574674200849974"</f>
        <v>4574674200849974</v>
      </c>
      <c r="F4306" t="str">
        <f>"416"</f>
        <v>416</v>
      </c>
      <c r="G4306">
        <v>1</v>
      </c>
      <c r="H4306">
        <v>2023</v>
      </c>
      <c r="I4306" t="s">
        <v>4421</v>
      </c>
    </row>
    <row r="4307" spans="1:9" x14ac:dyDescent="0.3">
      <c r="A4307" t="s">
        <v>10136</v>
      </c>
      <c r="B4307" t="s">
        <v>28</v>
      </c>
      <c r="C4307">
        <v>7648876604</v>
      </c>
      <c r="D4307" s="2">
        <v>1</v>
      </c>
      <c r="E4307" t="str">
        <f>"4574674200849982"</f>
        <v>4574674200849982</v>
      </c>
      <c r="F4307" t="str">
        <f>"847"</f>
        <v>847</v>
      </c>
      <c r="G4307">
        <v>1</v>
      </c>
      <c r="H4307">
        <v>2023</v>
      </c>
      <c r="I4307" t="s">
        <v>4422</v>
      </c>
    </row>
    <row r="4308" spans="1:9" x14ac:dyDescent="0.3">
      <c r="A4308" t="s">
        <v>10136</v>
      </c>
      <c r="B4308" t="s">
        <v>28</v>
      </c>
      <c r="C4308">
        <v>7648876604</v>
      </c>
      <c r="D4308" s="2">
        <v>1</v>
      </c>
      <c r="E4308" t="str">
        <f>"4574674200849990"</f>
        <v>4574674200849990</v>
      </c>
      <c r="F4308" t="str">
        <f>"916"</f>
        <v>916</v>
      </c>
      <c r="G4308">
        <v>1</v>
      </c>
      <c r="H4308">
        <v>2023</v>
      </c>
      <c r="I4308" t="s">
        <v>4423</v>
      </c>
    </row>
    <row r="4309" spans="1:9" x14ac:dyDescent="0.3">
      <c r="A4309" t="s">
        <v>10137</v>
      </c>
      <c r="B4309" t="s">
        <v>29</v>
      </c>
      <c r="C4309">
        <v>7648876604</v>
      </c>
      <c r="D4309" s="2">
        <v>1</v>
      </c>
      <c r="E4309" t="str">
        <f>"4574674200850444"</f>
        <v>4574674200850444</v>
      </c>
      <c r="F4309" t="str">
        <f>"584"</f>
        <v>584</v>
      </c>
      <c r="G4309">
        <v>1</v>
      </c>
      <c r="H4309">
        <v>2023</v>
      </c>
      <c r="I4309" t="s">
        <v>4424</v>
      </c>
    </row>
    <row r="4310" spans="1:9" x14ac:dyDescent="0.3">
      <c r="A4310" t="s">
        <v>10137</v>
      </c>
      <c r="B4310" t="s">
        <v>29</v>
      </c>
      <c r="C4310">
        <v>7648876604</v>
      </c>
      <c r="D4310" s="2">
        <v>1</v>
      </c>
      <c r="E4310" t="str">
        <f>"4574674200850626"</f>
        <v>4574674200850626</v>
      </c>
      <c r="F4310" t="str">
        <f>"045"</f>
        <v>045</v>
      </c>
      <c r="G4310">
        <v>1</v>
      </c>
      <c r="H4310">
        <v>2023</v>
      </c>
      <c r="I4310" t="s">
        <v>4425</v>
      </c>
    </row>
    <row r="4311" spans="1:9" x14ac:dyDescent="0.3">
      <c r="A4311" t="s">
        <v>10137</v>
      </c>
      <c r="B4311" t="s">
        <v>29</v>
      </c>
      <c r="C4311">
        <v>7648876604</v>
      </c>
      <c r="D4311" s="2">
        <v>1</v>
      </c>
      <c r="E4311" t="str">
        <f>"4574674200850667"</f>
        <v>4574674200850667</v>
      </c>
      <c r="F4311" t="str">
        <f>"095"</f>
        <v>095</v>
      </c>
      <c r="G4311">
        <v>1</v>
      </c>
      <c r="H4311">
        <v>2023</v>
      </c>
      <c r="I4311" t="s">
        <v>4426</v>
      </c>
    </row>
    <row r="4312" spans="1:9" x14ac:dyDescent="0.3">
      <c r="A4312" t="s">
        <v>10137</v>
      </c>
      <c r="B4312" t="s">
        <v>29</v>
      </c>
      <c r="C4312">
        <v>7648876604</v>
      </c>
      <c r="D4312" s="2">
        <v>1</v>
      </c>
      <c r="E4312" t="str">
        <f>"4574674200850477"</f>
        <v>4574674200850477</v>
      </c>
      <c r="F4312" t="str">
        <f>"521"</f>
        <v>521</v>
      </c>
      <c r="G4312">
        <v>1</v>
      </c>
      <c r="H4312">
        <v>2023</v>
      </c>
      <c r="I4312" t="s">
        <v>4427</v>
      </c>
    </row>
    <row r="4313" spans="1:9" x14ac:dyDescent="0.3">
      <c r="A4313" t="s">
        <v>10137</v>
      </c>
      <c r="B4313" t="s">
        <v>29</v>
      </c>
      <c r="C4313">
        <v>7648876604</v>
      </c>
      <c r="D4313" s="2">
        <v>1</v>
      </c>
      <c r="E4313" t="str">
        <f>"4574674200850576"</f>
        <v>4574674200850576</v>
      </c>
      <c r="F4313" t="str">
        <f>"344"</f>
        <v>344</v>
      </c>
      <c r="G4313">
        <v>1</v>
      </c>
      <c r="H4313">
        <v>2023</v>
      </c>
      <c r="I4313" t="s">
        <v>4428</v>
      </c>
    </row>
    <row r="4314" spans="1:9" x14ac:dyDescent="0.3">
      <c r="A4314" t="s">
        <v>10137</v>
      </c>
      <c r="B4314" t="s">
        <v>29</v>
      </c>
      <c r="C4314">
        <v>7648876604</v>
      </c>
      <c r="D4314" s="2">
        <v>1</v>
      </c>
      <c r="E4314" t="str">
        <f>"4574674200850691"</f>
        <v>4574674200850691</v>
      </c>
      <c r="F4314" t="str">
        <f>"141"</f>
        <v>141</v>
      </c>
      <c r="G4314">
        <v>1</v>
      </c>
      <c r="H4314">
        <v>2023</v>
      </c>
      <c r="I4314" t="s">
        <v>4429</v>
      </c>
    </row>
    <row r="4315" spans="1:9" x14ac:dyDescent="0.3">
      <c r="A4315" t="s">
        <v>10137</v>
      </c>
      <c r="B4315" t="s">
        <v>29</v>
      </c>
      <c r="C4315">
        <v>7648876604</v>
      </c>
      <c r="D4315" s="2">
        <v>1</v>
      </c>
      <c r="E4315" t="str">
        <f>"4574674200850717"</f>
        <v>4574674200850717</v>
      </c>
      <c r="F4315" t="str">
        <f>"675"</f>
        <v>675</v>
      </c>
      <c r="G4315">
        <v>1</v>
      </c>
      <c r="H4315">
        <v>2023</v>
      </c>
      <c r="I4315" t="s">
        <v>4430</v>
      </c>
    </row>
    <row r="4316" spans="1:9" x14ac:dyDescent="0.3">
      <c r="A4316" t="s">
        <v>10137</v>
      </c>
      <c r="B4316" t="s">
        <v>29</v>
      </c>
      <c r="C4316">
        <v>7648876604</v>
      </c>
      <c r="D4316" s="2">
        <v>1</v>
      </c>
      <c r="E4316" t="str">
        <f>"4574674200850709"</f>
        <v>4574674200850709</v>
      </c>
      <c r="F4316" t="str">
        <f>"807"</f>
        <v>807</v>
      </c>
      <c r="G4316">
        <v>1</v>
      </c>
      <c r="H4316">
        <v>2023</v>
      </c>
      <c r="I4316" t="s">
        <v>4431</v>
      </c>
    </row>
    <row r="4317" spans="1:9" x14ac:dyDescent="0.3">
      <c r="A4317" t="s">
        <v>10137</v>
      </c>
      <c r="B4317" t="s">
        <v>29</v>
      </c>
      <c r="C4317">
        <v>7648876604</v>
      </c>
      <c r="D4317" s="2">
        <v>1</v>
      </c>
      <c r="E4317" t="str">
        <f>"4574674200850733"</f>
        <v>4574674200850733</v>
      </c>
      <c r="F4317" t="str">
        <f>"875"</f>
        <v>875</v>
      </c>
      <c r="G4317">
        <v>1</v>
      </c>
      <c r="H4317">
        <v>2023</v>
      </c>
      <c r="I4317" t="s">
        <v>4432</v>
      </c>
    </row>
    <row r="4318" spans="1:9" x14ac:dyDescent="0.3">
      <c r="A4318" t="s">
        <v>10137</v>
      </c>
      <c r="B4318" t="s">
        <v>29</v>
      </c>
      <c r="C4318">
        <v>7648876604</v>
      </c>
      <c r="D4318" s="2">
        <v>1</v>
      </c>
      <c r="E4318" t="str">
        <f>"4574674200850782"</f>
        <v>4574674200850782</v>
      </c>
      <c r="F4318" t="str">
        <f>"088"</f>
        <v>088</v>
      </c>
      <c r="G4318">
        <v>1</v>
      </c>
      <c r="H4318">
        <v>2023</v>
      </c>
      <c r="I4318" t="s">
        <v>4433</v>
      </c>
    </row>
    <row r="4319" spans="1:9" x14ac:dyDescent="0.3">
      <c r="A4319" t="s">
        <v>10138</v>
      </c>
      <c r="B4319" t="s">
        <v>30</v>
      </c>
      <c r="C4319">
        <v>7648876604</v>
      </c>
      <c r="D4319" s="2">
        <v>1</v>
      </c>
      <c r="E4319" t="str">
        <f>"4574674200850915"</f>
        <v>4574674200850915</v>
      </c>
      <c r="F4319" t="str">
        <f>"406"</f>
        <v>406</v>
      </c>
      <c r="G4319">
        <v>1</v>
      </c>
      <c r="H4319">
        <v>2023</v>
      </c>
      <c r="I4319" t="s">
        <v>4434</v>
      </c>
    </row>
    <row r="4320" spans="1:9" x14ac:dyDescent="0.3">
      <c r="A4320" t="s">
        <v>10138</v>
      </c>
      <c r="B4320" t="s">
        <v>30</v>
      </c>
      <c r="C4320">
        <v>7648876604</v>
      </c>
      <c r="D4320" s="2">
        <v>1</v>
      </c>
      <c r="E4320" t="str">
        <f>"4574674200850899"</f>
        <v>4574674200850899</v>
      </c>
      <c r="F4320" t="str">
        <f>"673"</f>
        <v>673</v>
      </c>
      <c r="G4320">
        <v>1</v>
      </c>
      <c r="H4320">
        <v>2023</v>
      </c>
      <c r="I4320" t="s">
        <v>4435</v>
      </c>
    </row>
    <row r="4321" spans="1:9" x14ac:dyDescent="0.3">
      <c r="A4321" t="s">
        <v>10138</v>
      </c>
      <c r="B4321" t="s">
        <v>30</v>
      </c>
      <c r="C4321">
        <v>7648876604</v>
      </c>
      <c r="D4321" s="2">
        <v>1</v>
      </c>
      <c r="E4321" t="str">
        <f>"4574674200851020"</f>
        <v>4574674200851020</v>
      </c>
      <c r="F4321" t="str">
        <f>"890"</f>
        <v>890</v>
      </c>
      <c r="G4321">
        <v>1</v>
      </c>
      <c r="H4321">
        <v>2023</v>
      </c>
      <c r="I4321" t="s">
        <v>4436</v>
      </c>
    </row>
    <row r="4322" spans="1:9" x14ac:dyDescent="0.3">
      <c r="A4322" t="s">
        <v>10138</v>
      </c>
      <c r="B4322" t="s">
        <v>30</v>
      </c>
      <c r="C4322">
        <v>7648876604</v>
      </c>
      <c r="D4322" s="2">
        <v>1</v>
      </c>
      <c r="E4322" t="str">
        <f>"4574674200851046"</f>
        <v>4574674200851046</v>
      </c>
      <c r="F4322" t="str">
        <f>"280"</f>
        <v>280</v>
      </c>
      <c r="G4322">
        <v>1</v>
      </c>
      <c r="H4322">
        <v>2023</v>
      </c>
      <c r="I4322" t="s">
        <v>4437</v>
      </c>
    </row>
    <row r="4323" spans="1:9" x14ac:dyDescent="0.3">
      <c r="A4323" t="s">
        <v>10138</v>
      </c>
      <c r="B4323" t="s">
        <v>30</v>
      </c>
      <c r="C4323">
        <v>7648876604</v>
      </c>
      <c r="D4323" s="2">
        <v>1</v>
      </c>
      <c r="E4323" t="str">
        <f>"4574674200851004"</f>
        <v>4574674200851004</v>
      </c>
      <c r="F4323" t="str">
        <f>"841"</f>
        <v>841</v>
      </c>
      <c r="G4323">
        <v>1</v>
      </c>
      <c r="H4323">
        <v>2023</v>
      </c>
      <c r="I4323" t="s">
        <v>4438</v>
      </c>
    </row>
    <row r="4324" spans="1:9" x14ac:dyDescent="0.3">
      <c r="A4324" t="s">
        <v>10138</v>
      </c>
      <c r="B4324" t="s">
        <v>30</v>
      </c>
      <c r="C4324">
        <v>7648876604</v>
      </c>
      <c r="D4324" s="2">
        <v>1</v>
      </c>
      <c r="E4324" t="str">
        <f>"4574674200851053"</f>
        <v>4574674200851053</v>
      </c>
      <c r="F4324" t="str">
        <f>"231"</f>
        <v>231</v>
      </c>
      <c r="G4324">
        <v>1</v>
      </c>
      <c r="H4324">
        <v>2023</v>
      </c>
      <c r="I4324" t="s">
        <v>4439</v>
      </c>
    </row>
    <row r="4325" spans="1:9" x14ac:dyDescent="0.3">
      <c r="A4325" t="s">
        <v>10138</v>
      </c>
      <c r="B4325" t="s">
        <v>30</v>
      </c>
      <c r="C4325">
        <v>7648876604</v>
      </c>
      <c r="D4325" s="2">
        <v>1</v>
      </c>
      <c r="E4325" t="str">
        <f>"4574674200851087"</f>
        <v>4574674200851087</v>
      </c>
      <c r="F4325" t="str">
        <f>"602"</f>
        <v>602</v>
      </c>
      <c r="G4325">
        <v>1</v>
      </c>
      <c r="H4325">
        <v>2023</v>
      </c>
      <c r="I4325" t="s">
        <v>4440</v>
      </c>
    </row>
    <row r="4326" spans="1:9" x14ac:dyDescent="0.3">
      <c r="A4326" t="s">
        <v>10138</v>
      </c>
      <c r="B4326" t="s">
        <v>30</v>
      </c>
      <c r="C4326">
        <v>7648876604</v>
      </c>
      <c r="D4326" s="2">
        <v>1</v>
      </c>
      <c r="E4326" t="str">
        <f>"4574674200851343"</f>
        <v>4574674200851343</v>
      </c>
      <c r="F4326" t="str">
        <f>"002"</f>
        <v>002</v>
      </c>
      <c r="G4326">
        <v>1</v>
      </c>
      <c r="H4326">
        <v>2023</v>
      </c>
      <c r="I4326" t="s">
        <v>4441</v>
      </c>
    </row>
    <row r="4327" spans="1:9" x14ac:dyDescent="0.3">
      <c r="A4327" t="s">
        <v>10138</v>
      </c>
      <c r="B4327" t="s">
        <v>30</v>
      </c>
      <c r="C4327">
        <v>7648876604</v>
      </c>
      <c r="D4327" s="2">
        <v>1</v>
      </c>
      <c r="E4327" t="str">
        <f>"4574674200851152"</f>
        <v>4574674200851152</v>
      </c>
      <c r="F4327" t="str">
        <f>"439"</f>
        <v>439</v>
      </c>
      <c r="G4327">
        <v>1</v>
      </c>
      <c r="H4327">
        <v>2023</v>
      </c>
      <c r="I4327" t="s">
        <v>4442</v>
      </c>
    </row>
    <row r="4328" spans="1:9" x14ac:dyDescent="0.3">
      <c r="A4328" t="s">
        <v>10138</v>
      </c>
      <c r="B4328" t="s">
        <v>30</v>
      </c>
      <c r="C4328">
        <v>7648876604</v>
      </c>
      <c r="D4328" s="2">
        <v>1</v>
      </c>
      <c r="E4328" t="str">
        <f>"4574674200851137"</f>
        <v>4574674200851137</v>
      </c>
      <c r="F4328" t="str">
        <f>"122"</f>
        <v>122</v>
      </c>
      <c r="G4328">
        <v>1</v>
      </c>
      <c r="H4328">
        <v>2023</v>
      </c>
      <c r="I4328" t="s">
        <v>4443</v>
      </c>
    </row>
    <row r="4329" spans="1:9" x14ac:dyDescent="0.3">
      <c r="A4329" t="s">
        <v>10139</v>
      </c>
      <c r="B4329" t="s">
        <v>31</v>
      </c>
      <c r="C4329">
        <v>7648876604</v>
      </c>
      <c r="D4329" s="2">
        <v>1</v>
      </c>
      <c r="E4329" t="str">
        <f>"4574674200851160"</f>
        <v>4574674200851160</v>
      </c>
      <c r="F4329" t="str">
        <f>"236"</f>
        <v>236</v>
      </c>
      <c r="G4329">
        <v>1</v>
      </c>
      <c r="H4329">
        <v>2023</v>
      </c>
      <c r="I4329" t="s">
        <v>4444</v>
      </c>
    </row>
    <row r="4330" spans="1:9" x14ac:dyDescent="0.3">
      <c r="A4330" t="s">
        <v>10139</v>
      </c>
      <c r="B4330" t="s">
        <v>31</v>
      </c>
      <c r="C4330">
        <v>7648876604</v>
      </c>
      <c r="D4330" s="2">
        <v>1</v>
      </c>
      <c r="E4330" t="str">
        <f>"4574674200851186"</f>
        <v>4574674200851186</v>
      </c>
      <c r="F4330" t="str">
        <f>"239"</f>
        <v>239</v>
      </c>
      <c r="G4330">
        <v>1</v>
      </c>
      <c r="H4330">
        <v>2023</v>
      </c>
      <c r="I4330" t="s">
        <v>4445</v>
      </c>
    </row>
    <row r="4331" spans="1:9" x14ac:dyDescent="0.3">
      <c r="A4331" t="s">
        <v>10139</v>
      </c>
      <c r="B4331" t="s">
        <v>31</v>
      </c>
      <c r="C4331">
        <v>7648876604</v>
      </c>
      <c r="D4331" s="2">
        <v>1</v>
      </c>
      <c r="E4331" t="str">
        <f>"4574674200851418"</f>
        <v>4574674200851418</v>
      </c>
      <c r="F4331" t="str">
        <f>"296"</f>
        <v>296</v>
      </c>
      <c r="G4331">
        <v>1</v>
      </c>
      <c r="H4331">
        <v>2023</v>
      </c>
      <c r="I4331" t="s">
        <v>4446</v>
      </c>
    </row>
    <row r="4332" spans="1:9" x14ac:dyDescent="0.3">
      <c r="A4332" t="s">
        <v>10139</v>
      </c>
      <c r="B4332" t="s">
        <v>31</v>
      </c>
      <c r="C4332">
        <v>7648876604</v>
      </c>
      <c r="D4332" s="2">
        <v>1</v>
      </c>
      <c r="E4332" t="str">
        <f>"4574674200851517"</f>
        <v>4574674200851517</v>
      </c>
      <c r="F4332" t="str">
        <f>"612"</f>
        <v>612</v>
      </c>
      <c r="G4332">
        <v>1</v>
      </c>
      <c r="H4332">
        <v>2023</v>
      </c>
      <c r="I4332" t="s">
        <v>4447</v>
      </c>
    </row>
    <row r="4333" spans="1:9" x14ac:dyDescent="0.3">
      <c r="A4333" t="s">
        <v>10139</v>
      </c>
      <c r="B4333" t="s">
        <v>31</v>
      </c>
      <c r="C4333">
        <v>7648876604</v>
      </c>
      <c r="D4333" s="2">
        <v>1</v>
      </c>
      <c r="E4333" t="str">
        <f>"4574674200851590"</f>
        <v>4574674200851590</v>
      </c>
      <c r="F4333" t="str">
        <f>"258"</f>
        <v>258</v>
      </c>
      <c r="G4333">
        <v>1</v>
      </c>
      <c r="H4333">
        <v>2023</v>
      </c>
      <c r="I4333" t="s">
        <v>4448</v>
      </c>
    </row>
    <row r="4334" spans="1:9" x14ac:dyDescent="0.3">
      <c r="A4334" t="s">
        <v>10139</v>
      </c>
      <c r="B4334" t="s">
        <v>31</v>
      </c>
      <c r="C4334">
        <v>7648876604</v>
      </c>
      <c r="D4334" s="2">
        <v>1</v>
      </c>
      <c r="E4334" t="str">
        <f>"4574674200851780"</f>
        <v>4574674200851780</v>
      </c>
      <c r="F4334" t="str">
        <f>"561"</f>
        <v>561</v>
      </c>
      <c r="G4334">
        <v>1</v>
      </c>
      <c r="H4334">
        <v>2023</v>
      </c>
      <c r="I4334" t="s">
        <v>4449</v>
      </c>
    </row>
    <row r="4335" spans="1:9" x14ac:dyDescent="0.3">
      <c r="A4335" t="s">
        <v>10139</v>
      </c>
      <c r="B4335" t="s">
        <v>31</v>
      </c>
      <c r="C4335">
        <v>7648876604</v>
      </c>
      <c r="D4335" s="2">
        <v>1</v>
      </c>
      <c r="E4335" t="str">
        <f>"4574674200852036"</f>
        <v>4574674200852036</v>
      </c>
      <c r="F4335" t="str">
        <f>"103"</f>
        <v>103</v>
      </c>
      <c r="G4335">
        <v>1</v>
      </c>
      <c r="H4335">
        <v>2023</v>
      </c>
      <c r="I4335" t="s">
        <v>4450</v>
      </c>
    </row>
    <row r="4336" spans="1:9" x14ac:dyDescent="0.3">
      <c r="A4336" t="s">
        <v>10139</v>
      </c>
      <c r="B4336" t="s">
        <v>31</v>
      </c>
      <c r="C4336">
        <v>7648876604</v>
      </c>
      <c r="D4336" s="2">
        <v>1</v>
      </c>
      <c r="E4336" t="str">
        <f>"4574674200851897"</f>
        <v>4574674200851897</v>
      </c>
      <c r="F4336" t="str">
        <f>"848"</f>
        <v>848</v>
      </c>
      <c r="G4336">
        <v>1</v>
      </c>
      <c r="H4336">
        <v>2023</v>
      </c>
      <c r="I4336" t="s">
        <v>4451</v>
      </c>
    </row>
    <row r="4337" spans="1:9" x14ac:dyDescent="0.3">
      <c r="A4337" t="s">
        <v>10139</v>
      </c>
      <c r="B4337" t="s">
        <v>31</v>
      </c>
      <c r="C4337">
        <v>7648876604</v>
      </c>
      <c r="D4337" s="2">
        <v>1</v>
      </c>
      <c r="E4337" t="str">
        <f>"4574674200851889"</f>
        <v>4574674200851889</v>
      </c>
      <c r="F4337" t="str">
        <f>"826"</f>
        <v>826</v>
      </c>
      <c r="G4337">
        <v>1</v>
      </c>
      <c r="H4337">
        <v>2023</v>
      </c>
      <c r="I4337" t="s">
        <v>4452</v>
      </c>
    </row>
    <row r="4338" spans="1:9" x14ac:dyDescent="0.3">
      <c r="A4338" t="s">
        <v>10139</v>
      </c>
      <c r="B4338" t="s">
        <v>31</v>
      </c>
      <c r="C4338">
        <v>7648876604</v>
      </c>
      <c r="D4338" s="2">
        <v>1</v>
      </c>
      <c r="E4338" t="str">
        <f>"4574674200851913"</f>
        <v>4574674200851913</v>
      </c>
      <c r="F4338" t="str">
        <f>"495"</f>
        <v>495</v>
      </c>
      <c r="G4338">
        <v>1</v>
      </c>
      <c r="H4338">
        <v>2023</v>
      </c>
      <c r="I4338" t="s">
        <v>4453</v>
      </c>
    </row>
    <row r="4339" spans="1:9" x14ac:dyDescent="0.3">
      <c r="A4339" t="s">
        <v>10138</v>
      </c>
      <c r="B4339" t="s">
        <v>30</v>
      </c>
      <c r="C4339">
        <v>7648876604</v>
      </c>
      <c r="D4339" s="2">
        <v>1</v>
      </c>
      <c r="E4339" t="str">
        <f>"4574674200851921"</f>
        <v>4574674200851921</v>
      </c>
      <c r="F4339" t="str">
        <f>"444"</f>
        <v>444</v>
      </c>
      <c r="G4339">
        <v>1</v>
      </c>
      <c r="H4339">
        <v>2023</v>
      </c>
      <c r="I4339" t="s">
        <v>4454</v>
      </c>
    </row>
    <row r="4340" spans="1:9" x14ac:dyDescent="0.3">
      <c r="A4340" t="s">
        <v>10138</v>
      </c>
      <c r="B4340" t="s">
        <v>30</v>
      </c>
      <c r="C4340">
        <v>7648876604</v>
      </c>
      <c r="D4340" s="2">
        <v>1</v>
      </c>
      <c r="E4340" t="str">
        <f>"4574674200851947"</f>
        <v>4574674200851947</v>
      </c>
      <c r="F4340" t="str">
        <f>"806"</f>
        <v>806</v>
      </c>
      <c r="G4340">
        <v>1</v>
      </c>
      <c r="H4340">
        <v>2023</v>
      </c>
      <c r="I4340" t="s">
        <v>4455</v>
      </c>
    </row>
    <row r="4341" spans="1:9" x14ac:dyDescent="0.3">
      <c r="A4341" t="s">
        <v>10138</v>
      </c>
      <c r="B4341" t="s">
        <v>30</v>
      </c>
      <c r="C4341">
        <v>7648876604</v>
      </c>
      <c r="D4341" s="2">
        <v>1</v>
      </c>
      <c r="E4341" t="str">
        <f>"4574674200852069"</f>
        <v>4574674200852069</v>
      </c>
      <c r="F4341" t="str">
        <f>"772"</f>
        <v>772</v>
      </c>
      <c r="G4341">
        <v>1</v>
      </c>
      <c r="H4341">
        <v>2023</v>
      </c>
      <c r="I4341" t="s">
        <v>4456</v>
      </c>
    </row>
    <row r="4342" spans="1:9" x14ac:dyDescent="0.3">
      <c r="A4342" t="s">
        <v>10138</v>
      </c>
      <c r="B4342" t="s">
        <v>30</v>
      </c>
      <c r="C4342">
        <v>7648876604</v>
      </c>
      <c r="D4342" s="2">
        <v>1</v>
      </c>
      <c r="E4342" t="str">
        <f>"4574674200852184"</f>
        <v>4574674200852184</v>
      </c>
      <c r="F4342" t="str">
        <f>"549"</f>
        <v>549</v>
      </c>
      <c r="G4342">
        <v>1</v>
      </c>
      <c r="H4342">
        <v>2023</v>
      </c>
      <c r="I4342" t="s">
        <v>4457</v>
      </c>
    </row>
    <row r="4343" spans="1:9" x14ac:dyDescent="0.3">
      <c r="A4343" t="s">
        <v>10138</v>
      </c>
      <c r="B4343" t="s">
        <v>30</v>
      </c>
      <c r="C4343">
        <v>7648876604</v>
      </c>
      <c r="D4343" s="2">
        <v>1</v>
      </c>
      <c r="E4343" t="str">
        <f>"4574674200852200"</f>
        <v>4574674200852200</v>
      </c>
      <c r="F4343" t="str">
        <f>"593"</f>
        <v>593</v>
      </c>
      <c r="G4343">
        <v>1</v>
      </c>
      <c r="H4343">
        <v>2023</v>
      </c>
      <c r="I4343" t="s">
        <v>4458</v>
      </c>
    </row>
    <row r="4344" spans="1:9" x14ac:dyDescent="0.3">
      <c r="A4344" t="s">
        <v>10138</v>
      </c>
      <c r="B4344" t="s">
        <v>30</v>
      </c>
      <c r="C4344">
        <v>7648876604</v>
      </c>
      <c r="D4344" s="2">
        <v>1</v>
      </c>
      <c r="E4344" t="str">
        <f>"4574674200851988"</f>
        <v>4574674200851988</v>
      </c>
      <c r="F4344" t="str">
        <f>"002"</f>
        <v>002</v>
      </c>
      <c r="G4344">
        <v>1</v>
      </c>
      <c r="H4344">
        <v>2023</v>
      </c>
      <c r="I4344" t="s">
        <v>4459</v>
      </c>
    </row>
    <row r="4345" spans="1:9" x14ac:dyDescent="0.3">
      <c r="A4345" t="s">
        <v>10138</v>
      </c>
      <c r="B4345" t="s">
        <v>30</v>
      </c>
      <c r="C4345">
        <v>7648876604</v>
      </c>
      <c r="D4345" s="2">
        <v>1</v>
      </c>
      <c r="E4345" t="str">
        <f>"4574674200852226"</f>
        <v>4574674200852226</v>
      </c>
      <c r="F4345" t="str">
        <f>"556"</f>
        <v>556</v>
      </c>
      <c r="G4345">
        <v>1</v>
      </c>
      <c r="H4345">
        <v>2023</v>
      </c>
      <c r="I4345" t="s">
        <v>4460</v>
      </c>
    </row>
    <row r="4346" spans="1:9" x14ac:dyDescent="0.3">
      <c r="A4346" t="s">
        <v>10138</v>
      </c>
      <c r="B4346" t="s">
        <v>30</v>
      </c>
      <c r="C4346">
        <v>7648876604</v>
      </c>
      <c r="D4346" s="2">
        <v>1</v>
      </c>
      <c r="E4346" t="str">
        <f>"4574674200852234"</f>
        <v>4574674200852234</v>
      </c>
      <c r="F4346" t="str">
        <f>"892"</f>
        <v>892</v>
      </c>
      <c r="G4346">
        <v>1</v>
      </c>
      <c r="H4346">
        <v>2023</v>
      </c>
      <c r="I4346" t="s">
        <v>4461</v>
      </c>
    </row>
    <row r="4347" spans="1:9" x14ac:dyDescent="0.3">
      <c r="A4347" t="s">
        <v>10138</v>
      </c>
      <c r="B4347" t="s">
        <v>30</v>
      </c>
      <c r="C4347">
        <v>7648876604</v>
      </c>
      <c r="D4347" s="2">
        <v>1</v>
      </c>
      <c r="E4347" t="str">
        <f>"4574674200852457"</f>
        <v>4574674200852457</v>
      </c>
      <c r="F4347" t="str">
        <f>"626"</f>
        <v>626</v>
      </c>
      <c r="G4347">
        <v>1</v>
      </c>
      <c r="H4347">
        <v>2023</v>
      </c>
      <c r="I4347" t="s">
        <v>4462</v>
      </c>
    </row>
    <row r="4348" spans="1:9" x14ac:dyDescent="0.3">
      <c r="A4348" t="s">
        <v>10138</v>
      </c>
      <c r="B4348" t="s">
        <v>30</v>
      </c>
      <c r="C4348">
        <v>7648876604</v>
      </c>
      <c r="D4348" s="2">
        <v>1</v>
      </c>
      <c r="E4348" t="str">
        <f>"4574674200852275"</f>
        <v>4574674200852275</v>
      </c>
      <c r="F4348" t="str">
        <f>"079"</f>
        <v>079</v>
      </c>
      <c r="G4348">
        <v>1</v>
      </c>
      <c r="H4348">
        <v>2023</v>
      </c>
      <c r="I4348" t="s">
        <v>4463</v>
      </c>
    </row>
    <row r="4349" spans="1:9" x14ac:dyDescent="0.3">
      <c r="A4349" t="s">
        <v>10140</v>
      </c>
      <c r="B4349" t="s">
        <v>32</v>
      </c>
      <c r="C4349">
        <v>7648876604</v>
      </c>
      <c r="D4349" s="2">
        <v>1</v>
      </c>
      <c r="E4349" t="str">
        <f>"4574674200852325"</f>
        <v>4574674200852325</v>
      </c>
      <c r="F4349" t="str">
        <f>"044"</f>
        <v>044</v>
      </c>
      <c r="G4349">
        <v>1</v>
      </c>
      <c r="H4349">
        <v>2023</v>
      </c>
      <c r="I4349" t="s">
        <v>4464</v>
      </c>
    </row>
    <row r="4350" spans="1:9" x14ac:dyDescent="0.3">
      <c r="A4350" t="s">
        <v>10140</v>
      </c>
      <c r="B4350" t="s">
        <v>32</v>
      </c>
      <c r="C4350">
        <v>7648876604</v>
      </c>
      <c r="D4350" s="2">
        <v>1</v>
      </c>
      <c r="E4350" t="str">
        <f>"4574674200852333"</f>
        <v>4574674200852333</v>
      </c>
      <c r="F4350" t="str">
        <f>"537"</f>
        <v>537</v>
      </c>
      <c r="G4350">
        <v>1</v>
      </c>
      <c r="H4350">
        <v>2023</v>
      </c>
      <c r="I4350" t="s">
        <v>4465</v>
      </c>
    </row>
    <row r="4351" spans="1:9" x14ac:dyDescent="0.3">
      <c r="A4351" t="s">
        <v>10140</v>
      </c>
      <c r="B4351" t="s">
        <v>32</v>
      </c>
      <c r="C4351">
        <v>7648876604</v>
      </c>
      <c r="D4351" s="2">
        <v>1</v>
      </c>
      <c r="E4351" t="str">
        <f>"4574674200852341"</f>
        <v>4574674200852341</v>
      </c>
      <c r="F4351" t="str">
        <f>"115"</f>
        <v>115</v>
      </c>
      <c r="G4351">
        <v>1</v>
      </c>
      <c r="H4351">
        <v>2023</v>
      </c>
      <c r="I4351" t="s">
        <v>4466</v>
      </c>
    </row>
    <row r="4352" spans="1:9" x14ac:dyDescent="0.3">
      <c r="A4352" t="s">
        <v>10140</v>
      </c>
      <c r="B4352" t="s">
        <v>32</v>
      </c>
      <c r="C4352">
        <v>7648876604</v>
      </c>
      <c r="D4352" s="2">
        <v>1</v>
      </c>
      <c r="E4352" t="str">
        <f>"4574674200852366"</f>
        <v>4574674200852366</v>
      </c>
      <c r="F4352" t="str">
        <f>"198"</f>
        <v>198</v>
      </c>
      <c r="G4352">
        <v>1</v>
      </c>
      <c r="H4352">
        <v>2023</v>
      </c>
      <c r="I4352" t="s">
        <v>4467</v>
      </c>
    </row>
    <row r="4353" spans="1:9" x14ac:dyDescent="0.3">
      <c r="A4353" t="s">
        <v>10140</v>
      </c>
      <c r="B4353" t="s">
        <v>32</v>
      </c>
      <c r="C4353">
        <v>7648876604</v>
      </c>
      <c r="D4353" s="2">
        <v>1</v>
      </c>
      <c r="E4353" t="str">
        <f>"4574674200852390"</f>
        <v>4574674200852390</v>
      </c>
      <c r="F4353" t="str">
        <f>"489"</f>
        <v>489</v>
      </c>
      <c r="G4353">
        <v>1</v>
      </c>
      <c r="H4353">
        <v>2023</v>
      </c>
      <c r="I4353" t="s">
        <v>4468</v>
      </c>
    </row>
    <row r="4354" spans="1:9" x14ac:dyDescent="0.3">
      <c r="A4354" t="s">
        <v>10140</v>
      </c>
      <c r="B4354" t="s">
        <v>32</v>
      </c>
      <c r="C4354">
        <v>7648876604</v>
      </c>
      <c r="D4354" s="2">
        <v>1</v>
      </c>
      <c r="E4354" t="str">
        <f>"4574674200852549"</f>
        <v>4574674200852549</v>
      </c>
      <c r="F4354" t="str">
        <f>"057"</f>
        <v>057</v>
      </c>
      <c r="G4354">
        <v>1</v>
      </c>
      <c r="H4354">
        <v>2023</v>
      </c>
      <c r="I4354" t="s">
        <v>4469</v>
      </c>
    </row>
    <row r="4355" spans="1:9" x14ac:dyDescent="0.3">
      <c r="A4355" t="s">
        <v>10140</v>
      </c>
      <c r="B4355" t="s">
        <v>32</v>
      </c>
      <c r="C4355">
        <v>7648876604</v>
      </c>
      <c r="D4355" s="2">
        <v>1</v>
      </c>
      <c r="E4355" t="str">
        <f>"4574674200852556"</f>
        <v>4574674200852556</v>
      </c>
      <c r="F4355" t="str">
        <f>"439"</f>
        <v>439</v>
      </c>
      <c r="G4355">
        <v>1</v>
      </c>
      <c r="H4355">
        <v>2023</v>
      </c>
      <c r="I4355" t="s">
        <v>4470</v>
      </c>
    </row>
    <row r="4356" spans="1:9" x14ac:dyDescent="0.3">
      <c r="A4356" t="s">
        <v>10140</v>
      </c>
      <c r="B4356" t="s">
        <v>32</v>
      </c>
      <c r="C4356">
        <v>7648876604</v>
      </c>
      <c r="D4356" s="2">
        <v>1</v>
      </c>
      <c r="E4356" t="str">
        <f>"4574674200852648"</f>
        <v>4574674200852648</v>
      </c>
      <c r="F4356" t="str">
        <f>"783"</f>
        <v>783</v>
      </c>
      <c r="G4356">
        <v>1</v>
      </c>
      <c r="H4356">
        <v>2023</v>
      </c>
      <c r="I4356" t="s">
        <v>4471</v>
      </c>
    </row>
    <row r="4357" spans="1:9" x14ac:dyDescent="0.3">
      <c r="A4357" t="s">
        <v>10140</v>
      </c>
      <c r="B4357" t="s">
        <v>32</v>
      </c>
      <c r="C4357">
        <v>7648876604</v>
      </c>
      <c r="D4357" s="2">
        <v>1</v>
      </c>
      <c r="E4357" t="str">
        <f>"4574674200852671"</f>
        <v>4574674200852671</v>
      </c>
      <c r="F4357" t="str">
        <f>"653"</f>
        <v>653</v>
      </c>
      <c r="G4357">
        <v>1</v>
      </c>
      <c r="H4357">
        <v>2023</v>
      </c>
      <c r="I4357" t="s">
        <v>4472</v>
      </c>
    </row>
    <row r="4358" spans="1:9" x14ac:dyDescent="0.3">
      <c r="A4358" t="s">
        <v>10140</v>
      </c>
      <c r="B4358" t="s">
        <v>32</v>
      </c>
      <c r="C4358">
        <v>7648876604</v>
      </c>
      <c r="D4358" s="2">
        <v>1</v>
      </c>
      <c r="E4358" t="str">
        <f>"4574674200852887"</f>
        <v>4574674200852887</v>
      </c>
      <c r="F4358" t="str">
        <f>"699"</f>
        <v>699</v>
      </c>
      <c r="G4358">
        <v>1</v>
      </c>
      <c r="H4358">
        <v>2023</v>
      </c>
      <c r="I4358" t="s">
        <v>4473</v>
      </c>
    </row>
    <row r="4359" spans="1:9" x14ac:dyDescent="0.3">
      <c r="A4359" t="s">
        <v>10141</v>
      </c>
      <c r="B4359" t="s">
        <v>33</v>
      </c>
      <c r="C4359">
        <v>7648876604</v>
      </c>
      <c r="D4359" s="2">
        <v>1</v>
      </c>
      <c r="E4359" t="str">
        <f>"4574674200852895"</f>
        <v>4574674200852895</v>
      </c>
      <c r="F4359" t="str">
        <f>"984"</f>
        <v>984</v>
      </c>
      <c r="G4359">
        <v>1</v>
      </c>
      <c r="H4359">
        <v>2023</v>
      </c>
      <c r="I4359" t="s">
        <v>4474</v>
      </c>
    </row>
    <row r="4360" spans="1:9" x14ac:dyDescent="0.3">
      <c r="A4360" t="s">
        <v>10141</v>
      </c>
      <c r="B4360" t="s">
        <v>33</v>
      </c>
      <c r="C4360">
        <v>7648876604</v>
      </c>
      <c r="D4360" s="2">
        <v>1</v>
      </c>
      <c r="E4360" t="str">
        <f>"4574674200852697"</f>
        <v>4574674200852697</v>
      </c>
      <c r="F4360" t="str">
        <f>"203"</f>
        <v>203</v>
      </c>
      <c r="G4360">
        <v>1</v>
      </c>
      <c r="H4360">
        <v>2023</v>
      </c>
      <c r="I4360" t="s">
        <v>4475</v>
      </c>
    </row>
    <row r="4361" spans="1:9" x14ac:dyDescent="0.3">
      <c r="A4361" t="s">
        <v>10141</v>
      </c>
      <c r="B4361" t="s">
        <v>33</v>
      </c>
      <c r="C4361">
        <v>7648876604</v>
      </c>
      <c r="D4361" s="2">
        <v>1</v>
      </c>
      <c r="E4361" t="str">
        <f>"4574674200852705"</f>
        <v>4574674200852705</v>
      </c>
      <c r="F4361" t="str">
        <f>"125"</f>
        <v>125</v>
      </c>
      <c r="G4361">
        <v>1</v>
      </c>
      <c r="H4361">
        <v>2023</v>
      </c>
      <c r="I4361" t="s">
        <v>4476</v>
      </c>
    </row>
    <row r="4362" spans="1:9" x14ac:dyDescent="0.3">
      <c r="A4362" t="s">
        <v>10141</v>
      </c>
      <c r="B4362" t="s">
        <v>33</v>
      </c>
      <c r="C4362">
        <v>7648876604</v>
      </c>
      <c r="D4362" s="2">
        <v>1</v>
      </c>
      <c r="E4362" t="str">
        <f>"4574674200852713"</f>
        <v>4574674200852713</v>
      </c>
      <c r="F4362" t="str">
        <f>"559"</f>
        <v>559</v>
      </c>
      <c r="G4362">
        <v>1</v>
      </c>
      <c r="H4362">
        <v>2023</v>
      </c>
      <c r="I4362" t="s">
        <v>4477</v>
      </c>
    </row>
    <row r="4363" spans="1:9" x14ac:dyDescent="0.3">
      <c r="A4363" t="s">
        <v>10141</v>
      </c>
      <c r="B4363" t="s">
        <v>33</v>
      </c>
      <c r="C4363">
        <v>7648876604</v>
      </c>
      <c r="D4363" s="2">
        <v>1</v>
      </c>
      <c r="E4363" t="str">
        <f>"4574674200852754"</f>
        <v>4574674200852754</v>
      </c>
      <c r="F4363" t="str">
        <f>"878"</f>
        <v>878</v>
      </c>
      <c r="G4363">
        <v>1</v>
      </c>
      <c r="H4363">
        <v>2023</v>
      </c>
      <c r="I4363" t="s">
        <v>4478</v>
      </c>
    </row>
    <row r="4364" spans="1:9" x14ac:dyDescent="0.3">
      <c r="A4364" t="s">
        <v>10141</v>
      </c>
      <c r="B4364" t="s">
        <v>33</v>
      </c>
      <c r="C4364">
        <v>7648876604</v>
      </c>
      <c r="D4364" s="2">
        <v>1</v>
      </c>
      <c r="E4364" t="str">
        <f>"4574674200852788"</f>
        <v>4574674200852788</v>
      </c>
      <c r="F4364" t="str">
        <f>"771"</f>
        <v>771</v>
      </c>
      <c r="G4364">
        <v>1</v>
      </c>
      <c r="H4364">
        <v>2023</v>
      </c>
      <c r="I4364" t="s">
        <v>4479</v>
      </c>
    </row>
    <row r="4365" spans="1:9" x14ac:dyDescent="0.3">
      <c r="A4365" t="s">
        <v>10141</v>
      </c>
      <c r="B4365" t="s">
        <v>33</v>
      </c>
      <c r="C4365">
        <v>7648876604</v>
      </c>
      <c r="D4365" s="2">
        <v>1</v>
      </c>
      <c r="E4365" t="str">
        <f>"4574674200852986"</f>
        <v>4574674200852986</v>
      </c>
      <c r="F4365" t="str">
        <f>"343"</f>
        <v>343</v>
      </c>
      <c r="G4365">
        <v>1</v>
      </c>
      <c r="H4365">
        <v>2023</v>
      </c>
      <c r="I4365" t="s">
        <v>4480</v>
      </c>
    </row>
    <row r="4366" spans="1:9" x14ac:dyDescent="0.3">
      <c r="A4366" t="s">
        <v>10141</v>
      </c>
      <c r="B4366" t="s">
        <v>33</v>
      </c>
      <c r="C4366">
        <v>7648876604</v>
      </c>
      <c r="D4366" s="2">
        <v>1</v>
      </c>
      <c r="E4366" t="str">
        <f>"4574674200853208"</f>
        <v>4574674200853208</v>
      </c>
      <c r="F4366" t="str">
        <f>"004"</f>
        <v>004</v>
      </c>
      <c r="G4366">
        <v>1</v>
      </c>
      <c r="H4366">
        <v>2023</v>
      </c>
      <c r="I4366" t="s">
        <v>4481</v>
      </c>
    </row>
    <row r="4367" spans="1:9" x14ac:dyDescent="0.3">
      <c r="A4367" t="s">
        <v>10141</v>
      </c>
      <c r="B4367" t="s">
        <v>33</v>
      </c>
      <c r="C4367">
        <v>7648876604</v>
      </c>
      <c r="D4367" s="2">
        <v>1</v>
      </c>
      <c r="E4367" t="str">
        <f>"4574674200853109"</f>
        <v>4574674200853109</v>
      </c>
      <c r="F4367" t="str">
        <f>"734"</f>
        <v>734</v>
      </c>
      <c r="G4367">
        <v>1</v>
      </c>
      <c r="H4367">
        <v>2023</v>
      </c>
      <c r="I4367" t="s">
        <v>4482</v>
      </c>
    </row>
    <row r="4368" spans="1:9" x14ac:dyDescent="0.3">
      <c r="A4368" t="s">
        <v>10141</v>
      </c>
      <c r="B4368" t="s">
        <v>33</v>
      </c>
      <c r="C4368">
        <v>7648876604</v>
      </c>
      <c r="D4368" s="2">
        <v>1</v>
      </c>
      <c r="E4368" t="str">
        <f>"4574674200853117"</f>
        <v>4574674200853117</v>
      </c>
      <c r="F4368" t="str">
        <f>"118"</f>
        <v>118</v>
      </c>
      <c r="G4368">
        <v>1</v>
      </c>
      <c r="H4368">
        <v>2023</v>
      </c>
      <c r="I4368" t="s">
        <v>4483</v>
      </c>
    </row>
    <row r="4369" spans="1:9" x14ac:dyDescent="0.3">
      <c r="A4369" t="s">
        <v>10142</v>
      </c>
      <c r="B4369" t="s">
        <v>34</v>
      </c>
      <c r="C4369">
        <v>7648876604</v>
      </c>
      <c r="D4369" s="2">
        <v>1</v>
      </c>
      <c r="E4369" t="str">
        <f>"4574674200853265"</f>
        <v>4574674200853265</v>
      </c>
      <c r="F4369" t="str">
        <f>"257"</f>
        <v>257</v>
      </c>
      <c r="G4369">
        <v>1</v>
      </c>
      <c r="H4369">
        <v>2023</v>
      </c>
      <c r="I4369" t="s">
        <v>4484</v>
      </c>
    </row>
    <row r="4370" spans="1:9" x14ac:dyDescent="0.3">
      <c r="A4370" t="s">
        <v>10142</v>
      </c>
      <c r="B4370" t="s">
        <v>34</v>
      </c>
      <c r="C4370">
        <v>7648876604</v>
      </c>
      <c r="D4370" s="2">
        <v>1</v>
      </c>
      <c r="E4370" t="str">
        <f>"4574674200853273"</f>
        <v>4574674200853273</v>
      </c>
      <c r="F4370" t="str">
        <f>"984"</f>
        <v>984</v>
      </c>
      <c r="G4370">
        <v>1</v>
      </c>
      <c r="H4370">
        <v>2023</v>
      </c>
      <c r="I4370" t="s">
        <v>4485</v>
      </c>
    </row>
    <row r="4371" spans="1:9" x14ac:dyDescent="0.3">
      <c r="A4371" t="s">
        <v>10142</v>
      </c>
      <c r="B4371" t="s">
        <v>34</v>
      </c>
      <c r="C4371">
        <v>7648876604</v>
      </c>
      <c r="D4371" s="2">
        <v>1</v>
      </c>
      <c r="E4371" t="str">
        <f>"4574674200853141"</f>
        <v>4574674200853141</v>
      </c>
      <c r="F4371" t="str">
        <f>"533"</f>
        <v>533</v>
      </c>
      <c r="G4371">
        <v>1</v>
      </c>
      <c r="H4371">
        <v>2023</v>
      </c>
      <c r="I4371" t="s">
        <v>4486</v>
      </c>
    </row>
    <row r="4372" spans="1:9" x14ac:dyDescent="0.3">
      <c r="A4372" t="s">
        <v>10142</v>
      </c>
      <c r="B4372" t="s">
        <v>34</v>
      </c>
      <c r="C4372">
        <v>7648876604</v>
      </c>
      <c r="D4372" s="2">
        <v>1</v>
      </c>
      <c r="E4372" t="str">
        <f>"4574674200853166"</f>
        <v>4574674200853166</v>
      </c>
      <c r="F4372" t="str">
        <f>"354"</f>
        <v>354</v>
      </c>
      <c r="G4372">
        <v>1</v>
      </c>
      <c r="H4372">
        <v>2023</v>
      </c>
      <c r="I4372" t="s">
        <v>4487</v>
      </c>
    </row>
    <row r="4373" spans="1:9" x14ac:dyDescent="0.3">
      <c r="A4373" t="s">
        <v>10142</v>
      </c>
      <c r="B4373" t="s">
        <v>34</v>
      </c>
      <c r="C4373">
        <v>7648876604</v>
      </c>
      <c r="D4373" s="2">
        <v>1</v>
      </c>
      <c r="E4373" t="str">
        <f>"4574674200853190"</f>
        <v>4574674200853190</v>
      </c>
      <c r="F4373" t="str">
        <f>"856"</f>
        <v>856</v>
      </c>
      <c r="G4373">
        <v>1</v>
      </c>
      <c r="H4373">
        <v>2023</v>
      </c>
      <c r="I4373" t="s">
        <v>4488</v>
      </c>
    </row>
    <row r="4374" spans="1:9" x14ac:dyDescent="0.3">
      <c r="A4374" t="s">
        <v>10142</v>
      </c>
      <c r="B4374" t="s">
        <v>34</v>
      </c>
      <c r="C4374">
        <v>7648876604</v>
      </c>
      <c r="D4374" s="2">
        <v>1</v>
      </c>
      <c r="E4374" t="str">
        <f>"4574674200853430"</f>
        <v>4574674200853430</v>
      </c>
      <c r="F4374" t="str">
        <f>"808"</f>
        <v>808</v>
      </c>
      <c r="G4374">
        <v>1</v>
      </c>
      <c r="H4374">
        <v>2023</v>
      </c>
      <c r="I4374" t="s">
        <v>4489</v>
      </c>
    </row>
    <row r="4375" spans="1:9" x14ac:dyDescent="0.3">
      <c r="A4375" t="s">
        <v>10142</v>
      </c>
      <c r="B4375" t="s">
        <v>34</v>
      </c>
      <c r="C4375">
        <v>7648876604</v>
      </c>
      <c r="D4375" s="2">
        <v>1</v>
      </c>
      <c r="E4375" t="str">
        <f>"4574674200853364"</f>
        <v>4574674200853364</v>
      </c>
      <c r="F4375" t="str">
        <f>"131"</f>
        <v>131</v>
      </c>
      <c r="G4375">
        <v>1</v>
      </c>
      <c r="H4375">
        <v>2023</v>
      </c>
      <c r="I4375" t="s">
        <v>4490</v>
      </c>
    </row>
    <row r="4376" spans="1:9" x14ac:dyDescent="0.3">
      <c r="A4376" t="s">
        <v>10142</v>
      </c>
      <c r="B4376" t="s">
        <v>34</v>
      </c>
      <c r="C4376">
        <v>7648876604</v>
      </c>
      <c r="D4376" s="2">
        <v>1</v>
      </c>
      <c r="E4376" t="str">
        <f>"4574674200853471"</f>
        <v>4574674200853471</v>
      </c>
      <c r="F4376" t="str">
        <f>"576"</f>
        <v>576</v>
      </c>
      <c r="G4376">
        <v>1</v>
      </c>
      <c r="H4376">
        <v>2023</v>
      </c>
      <c r="I4376" t="s">
        <v>4491</v>
      </c>
    </row>
    <row r="4377" spans="1:9" x14ac:dyDescent="0.3">
      <c r="A4377" t="s">
        <v>10142</v>
      </c>
      <c r="B4377" t="s">
        <v>34</v>
      </c>
      <c r="C4377">
        <v>7648876604</v>
      </c>
      <c r="D4377" s="2">
        <v>1</v>
      </c>
      <c r="E4377" t="str">
        <f>"4574674200853372"</f>
        <v>4574674200853372</v>
      </c>
      <c r="F4377" t="str">
        <f>"793"</f>
        <v>793</v>
      </c>
      <c r="G4377">
        <v>1</v>
      </c>
      <c r="H4377">
        <v>2023</v>
      </c>
      <c r="I4377" t="s">
        <v>4492</v>
      </c>
    </row>
    <row r="4378" spans="1:9" x14ac:dyDescent="0.3">
      <c r="A4378" t="s">
        <v>10142</v>
      </c>
      <c r="B4378" t="s">
        <v>34</v>
      </c>
      <c r="C4378">
        <v>7648876604</v>
      </c>
      <c r="D4378" s="2">
        <v>1</v>
      </c>
      <c r="E4378" t="str">
        <f>"4574674200853489"</f>
        <v>4574674200853489</v>
      </c>
      <c r="F4378" t="str">
        <f>"591"</f>
        <v>591</v>
      </c>
      <c r="G4378">
        <v>1</v>
      </c>
      <c r="H4378">
        <v>2023</v>
      </c>
      <c r="I4378" t="s">
        <v>4493</v>
      </c>
    </row>
    <row r="4379" spans="1:9" x14ac:dyDescent="0.3">
      <c r="A4379" t="s">
        <v>10143</v>
      </c>
      <c r="B4379" t="s">
        <v>35</v>
      </c>
      <c r="C4379">
        <v>7648876604</v>
      </c>
      <c r="D4379" s="2">
        <v>1</v>
      </c>
      <c r="E4379" t="str">
        <f>"4574674200853562"</f>
        <v>4574674200853562</v>
      </c>
      <c r="F4379" t="str">
        <f>"088"</f>
        <v>088</v>
      </c>
      <c r="G4379">
        <v>1</v>
      </c>
      <c r="H4379">
        <v>2023</v>
      </c>
      <c r="I4379" t="s">
        <v>4494</v>
      </c>
    </row>
    <row r="4380" spans="1:9" x14ac:dyDescent="0.3">
      <c r="A4380" t="s">
        <v>10143</v>
      </c>
      <c r="B4380" t="s">
        <v>35</v>
      </c>
      <c r="C4380">
        <v>7648876604</v>
      </c>
      <c r="D4380" s="2">
        <v>1</v>
      </c>
      <c r="E4380" t="str">
        <f>"4574674200853547"</f>
        <v>4574674200853547</v>
      </c>
      <c r="F4380" t="str">
        <f>"757"</f>
        <v>757</v>
      </c>
      <c r="G4380">
        <v>1</v>
      </c>
      <c r="H4380">
        <v>2023</v>
      </c>
      <c r="I4380" t="s">
        <v>4495</v>
      </c>
    </row>
    <row r="4381" spans="1:9" x14ac:dyDescent="0.3">
      <c r="A4381" t="s">
        <v>10143</v>
      </c>
      <c r="B4381" t="s">
        <v>35</v>
      </c>
      <c r="C4381">
        <v>7648876604</v>
      </c>
      <c r="D4381" s="2">
        <v>1</v>
      </c>
      <c r="E4381" t="str">
        <f>"4574674200853588"</f>
        <v>4574674200853588</v>
      </c>
      <c r="F4381" t="str">
        <f>"093"</f>
        <v>093</v>
      </c>
      <c r="G4381">
        <v>1</v>
      </c>
      <c r="H4381">
        <v>2023</v>
      </c>
      <c r="I4381" t="s">
        <v>4496</v>
      </c>
    </row>
    <row r="4382" spans="1:9" x14ac:dyDescent="0.3">
      <c r="A4382" t="s">
        <v>10143</v>
      </c>
      <c r="B4382" t="s">
        <v>35</v>
      </c>
      <c r="C4382">
        <v>7648876604</v>
      </c>
      <c r="D4382" s="2">
        <v>1</v>
      </c>
      <c r="E4382" t="str">
        <f>"4574674200853729"</f>
        <v>4574674200853729</v>
      </c>
      <c r="F4382" t="str">
        <f>"243"</f>
        <v>243</v>
      </c>
      <c r="G4382">
        <v>1</v>
      </c>
      <c r="H4382">
        <v>2023</v>
      </c>
      <c r="I4382" t="s">
        <v>4497</v>
      </c>
    </row>
    <row r="4383" spans="1:9" x14ac:dyDescent="0.3">
      <c r="A4383" t="s">
        <v>10143</v>
      </c>
      <c r="B4383" t="s">
        <v>35</v>
      </c>
      <c r="C4383">
        <v>7648876604</v>
      </c>
      <c r="D4383" s="2">
        <v>1</v>
      </c>
      <c r="E4383" t="str">
        <f>"4574674200853737"</f>
        <v>4574674200853737</v>
      </c>
      <c r="F4383" t="str">
        <f>"738"</f>
        <v>738</v>
      </c>
      <c r="G4383">
        <v>1</v>
      </c>
      <c r="H4383">
        <v>2023</v>
      </c>
      <c r="I4383" t="s">
        <v>4498</v>
      </c>
    </row>
    <row r="4384" spans="1:9" x14ac:dyDescent="0.3">
      <c r="A4384" t="s">
        <v>10143</v>
      </c>
      <c r="B4384" t="s">
        <v>35</v>
      </c>
      <c r="C4384">
        <v>7648876604</v>
      </c>
      <c r="D4384" s="2">
        <v>1</v>
      </c>
      <c r="E4384" t="str">
        <f>"4574674200853802"</f>
        <v>4574674200853802</v>
      </c>
      <c r="F4384" t="str">
        <f>"934"</f>
        <v>934</v>
      </c>
      <c r="G4384">
        <v>1</v>
      </c>
      <c r="H4384">
        <v>2023</v>
      </c>
      <c r="I4384" t="s">
        <v>4499</v>
      </c>
    </row>
    <row r="4385" spans="1:9" x14ac:dyDescent="0.3">
      <c r="A4385" t="s">
        <v>10143</v>
      </c>
      <c r="B4385" t="s">
        <v>35</v>
      </c>
      <c r="C4385">
        <v>7648876604</v>
      </c>
      <c r="D4385" s="2">
        <v>1</v>
      </c>
      <c r="E4385" t="str">
        <f>"4574674200853810"</f>
        <v>4574674200853810</v>
      </c>
      <c r="F4385" t="str">
        <f>"799"</f>
        <v>799</v>
      </c>
      <c r="G4385">
        <v>1</v>
      </c>
      <c r="H4385">
        <v>2023</v>
      </c>
      <c r="I4385" t="s">
        <v>4500</v>
      </c>
    </row>
    <row r="4386" spans="1:9" x14ac:dyDescent="0.3">
      <c r="A4386" t="s">
        <v>10143</v>
      </c>
      <c r="B4386" t="s">
        <v>35</v>
      </c>
      <c r="C4386">
        <v>7648876604</v>
      </c>
      <c r="D4386" s="2">
        <v>1</v>
      </c>
      <c r="E4386" t="str">
        <f>"4574674200853851"</f>
        <v>4574674200853851</v>
      </c>
      <c r="F4386" t="str">
        <f>"429"</f>
        <v>429</v>
      </c>
      <c r="G4386">
        <v>1</v>
      </c>
      <c r="H4386">
        <v>2023</v>
      </c>
      <c r="I4386" t="s">
        <v>4501</v>
      </c>
    </row>
    <row r="4387" spans="1:9" x14ac:dyDescent="0.3">
      <c r="A4387" t="s">
        <v>10143</v>
      </c>
      <c r="B4387" t="s">
        <v>35</v>
      </c>
      <c r="C4387">
        <v>7648876604</v>
      </c>
      <c r="D4387" s="2">
        <v>1</v>
      </c>
      <c r="E4387" t="str">
        <f>"4574674200853877"</f>
        <v>4574674200853877</v>
      </c>
      <c r="F4387" t="str">
        <f>"678"</f>
        <v>678</v>
      </c>
      <c r="G4387">
        <v>1</v>
      </c>
      <c r="H4387">
        <v>2023</v>
      </c>
      <c r="I4387" t="s">
        <v>4502</v>
      </c>
    </row>
    <row r="4388" spans="1:9" x14ac:dyDescent="0.3">
      <c r="A4388" t="s">
        <v>10143</v>
      </c>
      <c r="B4388" t="s">
        <v>35</v>
      </c>
      <c r="C4388">
        <v>7648876604</v>
      </c>
      <c r="D4388" s="2">
        <v>1</v>
      </c>
      <c r="E4388" t="str">
        <f>"4574674200853901"</f>
        <v>4574674200853901</v>
      </c>
      <c r="F4388" t="str">
        <f>"183"</f>
        <v>183</v>
      </c>
      <c r="G4388">
        <v>1</v>
      </c>
      <c r="H4388">
        <v>2023</v>
      </c>
      <c r="I4388" t="s">
        <v>4503</v>
      </c>
    </row>
    <row r="4389" spans="1:9" x14ac:dyDescent="0.3">
      <c r="A4389" t="s">
        <v>10144</v>
      </c>
      <c r="B4389" t="s">
        <v>36</v>
      </c>
      <c r="C4389">
        <v>7648876604</v>
      </c>
      <c r="D4389" s="2">
        <v>1</v>
      </c>
      <c r="E4389" t="str">
        <f>"4574674200853893"</f>
        <v>4574674200853893</v>
      </c>
      <c r="F4389" t="str">
        <f>"027"</f>
        <v>027</v>
      </c>
      <c r="G4389">
        <v>1</v>
      </c>
      <c r="H4389">
        <v>2023</v>
      </c>
      <c r="I4389" t="s">
        <v>4504</v>
      </c>
    </row>
    <row r="4390" spans="1:9" x14ac:dyDescent="0.3">
      <c r="A4390" t="s">
        <v>10144</v>
      </c>
      <c r="B4390" t="s">
        <v>36</v>
      </c>
      <c r="C4390">
        <v>7648876604</v>
      </c>
      <c r="D4390" s="2">
        <v>1</v>
      </c>
      <c r="E4390" t="str">
        <f>"4574674200853927"</f>
        <v>4574674200853927</v>
      </c>
      <c r="F4390" t="str">
        <f>"617"</f>
        <v>617</v>
      </c>
      <c r="G4390">
        <v>1</v>
      </c>
      <c r="H4390">
        <v>2023</v>
      </c>
      <c r="I4390" t="s">
        <v>4505</v>
      </c>
    </row>
    <row r="4391" spans="1:9" x14ac:dyDescent="0.3">
      <c r="A4391" t="s">
        <v>10144</v>
      </c>
      <c r="B4391" t="s">
        <v>36</v>
      </c>
      <c r="C4391">
        <v>7648876604</v>
      </c>
      <c r="D4391" s="2">
        <v>1</v>
      </c>
      <c r="E4391" t="str">
        <f>"4574674200854107"</f>
        <v>4574674200854107</v>
      </c>
      <c r="F4391" t="str">
        <f>"219"</f>
        <v>219</v>
      </c>
      <c r="G4391">
        <v>1</v>
      </c>
      <c r="H4391">
        <v>2023</v>
      </c>
      <c r="I4391" t="s">
        <v>4506</v>
      </c>
    </row>
    <row r="4392" spans="1:9" x14ac:dyDescent="0.3">
      <c r="A4392" t="s">
        <v>10144</v>
      </c>
      <c r="B4392" t="s">
        <v>36</v>
      </c>
      <c r="C4392">
        <v>7648876604</v>
      </c>
      <c r="D4392" s="2">
        <v>1</v>
      </c>
      <c r="E4392" t="str">
        <f>"4574674200854149"</f>
        <v>4574674200854149</v>
      </c>
      <c r="F4392" t="str">
        <f>"485"</f>
        <v>485</v>
      </c>
      <c r="G4392">
        <v>1</v>
      </c>
      <c r="H4392">
        <v>2023</v>
      </c>
      <c r="I4392" t="s">
        <v>4507</v>
      </c>
    </row>
    <row r="4393" spans="1:9" x14ac:dyDescent="0.3">
      <c r="A4393" t="s">
        <v>10144</v>
      </c>
      <c r="B4393" t="s">
        <v>36</v>
      </c>
      <c r="C4393">
        <v>7648876604</v>
      </c>
      <c r="D4393" s="2">
        <v>1</v>
      </c>
      <c r="E4393" t="str">
        <f>"4574674200853968"</f>
        <v>4574674200853968</v>
      </c>
      <c r="F4393" t="str">
        <f>"582"</f>
        <v>582</v>
      </c>
      <c r="G4393">
        <v>1</v>
      </c>
      <c r="H4393">
        <v>2023</v>
      </c>
      <c r="I4393" t="s">
        <v>4508</v>
      </c>
    </row>
    <row r="4394" spans="1:9" x14ac:dyDescent="0.3">
      <c r="A4394" t="s">
        <v>10144</v>
      </c>
      <c r="B4394" t="s">
        <v>36</v>
      </c>
      <c r="C4394">
        <v>7648876604</v>
      </c>
      <c r="D4394" s="2">
        <v>1</v>
      </c>
      <c r="E4394" t="str">
        <f>"4574674200853984"</f>
        <v>4574674200853984</v>
      </c>
      <c r="F4394" t="str">
        <f>"136"</f>
        <v>136</v>
      </c>
      <c r="G4394">
        <v>1</v>
      </c>
      <c r="H4394">
        <v>2023</v>
      </c>
      <c r="I4394" t="s">
        <v>4509</v>
      </c>
    </row>
    <row r="4395" spans="1:9" x14ac:dyDescent="0.3">
      <c r="A4395" t="s">
        <v>10144</v>
      </c>
      <c r="B4395" t="s">
        <v>36</v>
      </c>
      <c r="C4395">
        <v>7648876604</v>
      </c>
      <c r="D4395" s="2">
        <v>1</v>
      </c>
      <c r="E4395" t="str">
        <f>"4574674200853992"</f>
        <v>4574674200853992</v>
      </c>
      <c r="F4395" t="str">
        <f>"128"</f>
        <v>128</v>
      </c>
      <c r="G4395">
        <v>1</v>
      </c>
      <c r="H4395">
        <v>2023</v>
      </c>
      <c r="I4395" t="s">
        <v>4510</v>
      </c>
    </row>
    <row r="4396" spans="1:9" x14ac:dyDescent="0.3">
      <c r="A4396" t="s">
        <v>10144</v>
      </c>
      <c r="B4396" t="s">
        <v>36</v>
      </c>
      <c r="C4396">
        <v>7648876604</v>
      </c>
      <c r="D4396" s="2">
        <v>1</v>
      </c>
      <c r="E4396" t="str">
        <f>"4574674200854404"</f>
        <v>4574674200854404</v>
      </c>
      <c r="F4396" t="str">
        <f>"769"</f>
        <v>769</v>
      </c>
      <c r="G4396">
        <v>1</v>
      </c>
      <c r="H4396">
        <v>2023</v>
      </c>
      <c r="I4396" t="s">
        <v>4511</v>
      </c>
    </row>
    <row r="4397" spans="1:9" x14ac:dyDescent="0.3">
      <c r="A4397" t="s">
        <v>10144</v>
      </c>
      <c r="B4397" t="s">
        <v>36</v>
      </c>
      <c r="C4397">
        <v>7648876604</v>
      </c>
      <c r="D4397" s="2">
        <v>1</v>
      </c>
      <c r="E4397" t="str">
        <f>"4574674200854453"</f>
        <v>4574674200854453</v>
      </c>
      <c r="F4397" t="str">
        <f>"030"</f>
        <v>030</v>
      </c>
      <c r="G4397">
        <v>1</v>
      </c>
      <c r="H4397">
        <v>2023</v>
      </c>
      <c r="I4397" t="s">
        <v>4512</v>
      </c>
    </row>
    <row r="4398" spans="1:9" x14ac:dyDescent="0.3">
      <c r="A4398" t="s">
        <v>10144</v>
      </c>
      <c r="B4398" t="s">
        <v>36</v>
      </c>
      <c r="C4398">
        <v>7648876604</v>
      </c>
      <c r="D4398" s="2">
        <v>1</v>
      </c>
      <c r="E4398" t="str">
        <f>"4574674200854263"</f>
        <v>4574674200854263</v>
      </c>
      <c r="F4398" t="str">
        <f>"325"</f>
        <v>325</v>
      </c>
      <c r="G4398">
        <v>1</v>
      </c>
      <c r="H4398">
        <v>2023</v>
      </c>
      <c r="I4398" t="s">
        <v>4513</v>
      </c>
    </row>
    <row r="4399" spans="1:9" x14ac:dyDescent="0.3">
      <c r="A4399" t="s">
        <v>10145</v>
      </c>
      <c r="B4399" t="s">
        <v>37</v>
      </c>
      <c r="C4399">
        <v>7648876604</v>
      </c>
      <c r="D4399" s="2">
        <v>1</v>
      </c>
      <c r="E4399" t="str">
        <f>"4574674200854305"</f>
        <v>4574674200854305</v>
      </c>
      <c r="F4399" t="str">
        <f>"503"</f>
        <v>503</v>
      </c>
      <c r="G4399">
        <v>1</v>
      </c>
      <c r="H4399">
        <v>2023</v>
      </c>
      <c r="I4399" t="s">
        <v>4514</v>
      </c>
    </row>
    <row r="4400" spans="1:9" x14ac:dyDescent="0.3">
      <c r="A4400" t="s">
        <v>10145</v>
      </c>
      <c r="B4400" t="s">
        <v>37</v>
      </c>
      <c r="C4400">
        <v>7648876604</v>
      </c>
      <c r="D4400" s="2">
        <v>1</v>
      </c>
      <c r="E4400" t="str">
        <f>"4574674200854461"</f>
        <v>4574674200854461</v>
      </c>
      <c r="F4400" t="str">
        <f>"782"</f>
        <v>782</v>
      </c>
      <c r="G4400">
        <v>1</v>
      </c>
      <c r="H4400">
        <v>2023</v>
      </c>
      <c r="I4400" t="s">
        <v>4515</v>
      </c>
    </row>
    <row r="4401" spans="1:9" x14ac:dyDescent="0.3">
      <c r="A4401" t="s">
        <v>10145</v>
      </c>
      <c r="B4401" t="s">
        <v>37</v>
      </c>
      <c r="C4401">
        <v>7648876604</v>
      </c>
      <c r="D4401" s="2">
        <v>1</v>
      </c>
      <c r="E4401" t="str">
        <f>"4574674200854487"</f>
        <v>4574674200854487</v>
      </c>
      <c r="F4401" t="str">
        <f>"098"</f>
        <v>098</v>
      </c>
      <c r="G4401">
        <v>1</v>
      </c>
      <c r="H4401">
        <v>2023</v>
      </c>
      <c r="I4401" t="s">
        <v>4516</v>
      </c>
    </row>
    <row r="4402" spans="1:9" x14ac:dyDescent="0.3">
      <c r="A4402" t="s">
        <v>10145</v>
      </c>
      <c r="B4402" t="s">
        <v>37</v>
      </c>
      <c r="C4402">
        <v>7648876604</v>
      </c>
      <c r="D4402" s="2">
        <v>1</v>
      </c>
      <c r="E4402" t="str">
        <f>"4574674200854529"</f>
        <v>4574674200854529</v>
      </c>
      <c r="F4402" t="str">
        <f>"369"</f>
        <v>369</v>
      </c>
      <c r="G4402">
        <v>1</v>
      </c>
      <c r="H4402">
        <v>2023</v>
      </c>
      <c r="I4402" t="s">
        <v>4517</v>
      </c>
    </row>
    <row r="4403" spans="1:9" x14ac:dyDescent="0.3">
      <c r="A4403" t="s">
        <v>10145</v>
      </c>
      <c r="B4403" t="s">
        <v>37</v>
      </c>
      <c r="C4403">
        <v>7648876604</v>
      </c>
      <c r="D4403" s="2">
        <v>1</v>
      </c>
      <c r="E4403" t="str">
        <f>"4574674200854552"</f>
        <v>4574674200854552</v>
      </c>
      <c r="F4403" t="str">
        <f>"499"</f>
        <v>499</v>
      </c>
      <c r="G4403">
        <v>1</v>
      </c>
      <c r="H4403">
        <v>2023</v>
      </c>
      <c r="I4403" t="s">
        <v>4518</v>
      </c>
    </row>
    <row r="4404" spans="1:9" x14ac:dyDescent="0.3">
      <c r="A4404" t="s">
        <v>10145</v>
      </c>
      <c r="B4404" t="s">
        <v>37</v>
      </c>
      <c r="C4404">
        <v>7648876604</v>
      </c>
      <c r="D4404" s="2">
        <v>1</v>
      </c>
      <c r="E4404" t="str">
        <f>"4574674200854560"</f>
        <v>4574674200854560</v>
      </c>
      <c r="F4404" t="str">
        <f>"852"</f>
        <v>852</v>
      </c>
      <c r="G4404">
        <v>1</v>
      </c>
      <c r="H4404">
        <v>2023</v>
      </c>
      <c r="I4404" t="s">
        <v>4519</v>
      </c>
    </row>
    <row r="4405" spans="1:9" x14ac:dyDescent="0.3">
      <c r="A4405" t="s">
        <v>10145</v>
      </c>
      <c r="B4405" t="s">
        <v>37</v>
      </c>
      <c r="C4405">
        <v>7648876604</v>
      </c>
      <c r="D4405" s="2">
        <v>1</v>
      </c>
      <c r="E4405" t="str">
        <f>"4574674200854651"</f>
        <v>4574674200854651</v>
      </c>
      <c r="F4405" t="str">
        <f>"439"</f>
        <v>439</v>
      </c>
      <c r="G4405">
        <v>1</v>
      </c>
      <c r="H4405">
        <v>2023</v>
      </c>
      <c r="I4405" t="s">
        <v>4520</v>
      </c>
    </row>
    <row r="4406" spans="1:9" x14ac:dyDescent="0.3">
      <c r="A4406" t="s">
        <v>10145</v>
      </c>
      <c r="B4406" t="s">
        <v>37</v>
      </c>
      <c r="C4406">
        <v>7648876604</v>
      </c>
      <c r="D4406" s="2">
        <v>1</v>
      </c>
      <c r="E4406" t="str">
        <f>"4574674200854594"</f>
        <v>4574674200854594</v>
      </c>
      <c r="F4406" t="str">
        <f>"243"</f>
        <v>243</v>
      </c>
      <c r="G4406">
        <v>1</v>
      </c>
      <c r="H4406">
        <v>2023</v>
      </c>
      <c r="I4406" t="s">
        <v>4521</v>
      </c>
    </row>
    <row r="4407" spans="1:9" x14ac:dyDescent="0.3">
      <c r="A4407" t="s">
        <v>10145</v>
      </c>
      <c r="B4407" t="s">
        <v>37</v>
      </c>
      <c r="C4407">
        <v>7648876604</v>
      </c>
      <c r="D4407" s="2">
        <v>1</v>
      </c>
      <c r="E4407" t="str">
        <f>"4574674200854834"</f>
        <v>4574674200854834</v>
      </c>
      <c r="F4407" t="str">
        <f>"152"</f>
        <v>152</v>
      </c>
      <c r="G4407">
        <v>1</v>
      </c>
      <c r="H4407">
        <v>2023</v>
      </c>
      <c r="I4407" t="s">
        <v>4522</v>
      </c>
    </row>
    <row r="4408" spans="1:9" x14ac:dyDescent="0.3">
      <c r="A4408" t="s">
        <v>10145</v>
      </c>
      <c r="B4408" t="s">
        <v>37</v>
      </c>
      <c r="C4408">
        <v>7648876604</v>
      </c>
      <c r="D4408" s="2">
        <v>1</v>
      </c>
      <c r="E4408" t="str">
        <f>"4574674200854883"</f>
        <v>4574674200854883</v>
      </c>
      <c r="F4408" t="str">
        <f>"199"</f>
        <v>199</v>
      </c>
      <c r="G4408">
        <v>1</v>
      </c>
      <c r="H4408">
        <v>2023</v>
      </c>
      <c r="I4408" t="s">
        <v>4523</v>
      </c>
    </row>
    <row r="4409" spans="1:9" x14ac:dyDescent="0.3">
      <c r="A4409" t="s">
        <v>10146</v>
      </c>
      <c r="B4409" t="s">
        <v>38</v>
      </c>
      <c r="C4409">
        <v>7648876604</v>
      </c>
      <c r="D4409" s="2">
        <v>1</v>
      </c>
      <c r="E4409" t="str">
        <f>"4574674200854784"</f>
        <v>4574674200854784</v>
      </c>
      <c r="F4409" t="str">
        <f>"857"</f>
        <v>857</v>
      </c>
      <c r="G4409">
        <v>1</v>
      </c>
      <c r="H4409">
        <v>2023</v>
      </c>
      <c r="I4409" t="s">
        <v>4524</v>
      </c>
    </row>
    <row r="4410" spans="1:9" x14ac:dyDescent="0.3">
      <c r="A4410" t="s">
        <v>10146</v>
      </c>
      <c r="B4410" t="s">
        <v>38</v>
      </c>
      <c r="C4410">
        <v>7648876604</v>
      </c>
      <c r="D4410" s="2">
        <v>1</v>
      </c>
      <c r="E4410" t="str">
        <f>"4574674200855088"</f>
        <v>4574674200855088</v>
      </c>
      <c r="F4410" t="str">
        <f>"420"</f>
        <v>420</v>
      </c>
      <c r="G4410">
        <v>1</v>
      </c>
      <c r="H4410">
        <v>2023</v>
      </c>
      <c r="I4410" t="s">
        <v>4525</v>
      </c>
    </row>
    <row r="4411" spans="1:9" x14ac:dyDescent="0.3">
      <c r="A4411" t="s">
        <v>10146</v>
      </c>
      <c r="B4411" t="s">
        <v>38</v>
      </c>
      <c r="C4411">
        <v>7648876604</v>
      </c>
      <c r="D4411" s="2">
        <v>1</v>
      </c>
      <c r="E4411" t="str">
        <f>"4574674200854941"</f>
        <v>4574674200854941</v>
      </c>
      <c r="F4411" t="str">
        <f>"066"</f>
        <v>066</v>
      </c>
      <c r="G4411">
        <v>1</v>
      </c>
      <c r="H4411">
        <v>2023</v>
      </c>
      <c r="I4411" t="s">
        <v>4526</v>
      </c>
    </row>
    <row r="4412" spans="1:9" x14ac:dyDescent="0.3">
      <c r="A4412" t="s">
        <v>10146</v>
      </c>
      <c r="B4412" t="s">
        <v>38</v>
      </c>
      <c r="C4412">
        <v>7648876604</v>
      </c>
      <c r="D4412" s="2">
        <v>1</v>
      </c>
      <c r="E4412" t="str">
        <f>"4574674200854974"</f>
        <v>4574674200854974</v>
      </c>
      <c r="F4412" t="str">
        <f>"086"</f>
        <v>086</v>
      </c>
      <c r="G4412">
        <v>1</v>
      </c>
      <c r="H4412">
        <v>2023</v>
      </c>
      <c r="I4412" t="s">
        <v>4527</v>
      </c>
    </row>
    <row r="4413" spans="1:9" x14ac:dyDescent="0.3">
      <c r="A4413" t="s">
        <v>10146</v>
      </c>
      <c r="B4413" t="s">
        <v>38</v>
      </c>
      <c r="C4413">
        <v>7648876604</v>
      </c>
      <c r="D4413" s="2">
        <v>1</v>
      </c>
      <c r="E4413" t="str">
        <f>"4574674200854925"</f>
        <v>4574674200854925</v>
      </c>
      <c r="F4413" t="str">
        <f>"824"</f>
        <v>824</v>
      </c>
      <c r="G4413">
        <v>1</v>
      </c>
      <c r="H4413">
        <v>2023</v>
      </c>
      <c r="I4413" t="s">
        <v>4528</v>
      </c>
    </row>
    <row r="4414" spans="1:9" x14ac:dyDescent="0.3">
      <c r="A4414" t="s">
        <v>10146</v>
      </c>
      <c r="B4414" t="s">
        <v>38</v>
      </c>
      <c r="C4414">
        <v>7648876604</v>
      </c>
      <c r="D4414" s="2">
        <v>1</v>
      </c>
      <c r="E4414" t="str">
        <f>"4574674200854958"</f>
        <v>4574674200854958</v>
      </c>
      <c r="F4414" t="str">
        <f>"905"</f>
        <v>905</v>
      </c>
      <c r="G4414">
        <v>1</v>
      </c>
      <c r="H4414">
        <v>2023</v>
      </c>
      <c r="I4414" t="s">
        <v>4529</v>
      </c>
    </row>
    <row r="4415" spans="1:9" x14ac:dyDescent="0.3">
      <c r="A4415" t="s">
        <v>10146</v>
      </c>
      <c r="B4415" t="s">
        <v>38</v>
      </c>
      <c r="C4415">
        <v>7648876604</v>
      </c>
      <c r="D4415" s="2">
        <v>1</v>
      </c>
      <c r="E4415" t="str">
        <f>"4574674200854982"</f>
        <v>4574674200854982</v>
      </c>
      <c r="F4415" t="str">
        <f>"839"</f>
        <v>839</v>
      </c>
      <c r="G4415">
        <v>1</v>
      </c>
      <c r="H4415">
        <v>2023</v>
      </c>
      <c r="I4415" t="s">
        <v>4530</v>
      </c>
    </row>
    <row r="4416" spans="1:9" x14ac:dyDescent="0.3">
      <c r="A4416" t="s">
        <v>10146</v>
      </c>
      <c r="B4416" t="s">
        <v>38</v>
      </c>
      <c r="C4416">
        <v>7648876604</v>
      </c>
      <c r="D4416" s="2">
        <v>1</v>
      </c>
      <c r="E4416" t="str">
        <f>"4574674200855146"</f>
        <v>4574674200855146</v>
      </c>
      <c r="F4416" t="str">
        <f>"999"</f>
        <v>999</v>
      </c>
      <c r="G4416">
        <v>1</v>
      </c>
      <c r="H4416">
        <v>2023</v>
      </c>
      <c r="I4416" t="s">
        <v>4531</v>
      </c>
    </row>
    <row r="4417" spans="1:9" x14ac:dyDescent="0.3">
      <c r="A4417" t="s">
        <v>10146</v>
      </c>
      <c r="B4417" t="s">
        <v>38</v>
      </c>
      <c r="C4417">
        <v>7648876604</v>
      </c>
      <c r="D4417" s="2">
        <v>1</v>
      </c>
      <c r="E4417" t="str">
        <f>"4574674200855450"</f>
        <v>4574674200855450</v>
      </c>
      <c r="F4417" t="str">
        <f>"633"</f>
        <v>633</v>
      </c>
      <c r="G4417">
        <v>1</v>
      </c>
      <c r="H4417">
        <v>2023</v>
      </c>
      <c r="I4417" t="s">
        <v>4532</v>
      </c>
    </row>
    <row r="4418" spans="1:9" x14ac:dyDescent="0.3">
      <c r="A4418" t="s">
        <v>10146</v>
      </c>
      <c r="B4418" t="s">
        <v>38</v>
      </c>
      <c r="C4418">
        <v>7648876604</v>
      </c>
      <c r="D4418" s="2">
        <v>1</v>
      </c>
      <c r="E4418" t="str">
        <f>"4574674200855229"</f>
        <v>4574674200855229</v>
      </c>
      <c r="F4418" t="str">
        <f>"621"</f>
        <v>621</v>
      </c>
      <c r="G4418">
        <v>1</v>
      </c>
      <c r="H4418">
        <v>2023</v>
      </c>
      <c r="I4418" t="s">
        <v>4533</v>
      </c>
    </row>
    <row r="4419" spans="1:9" x14ac:dyDescent="0.3">
      <c r="A4419" t="s">
        <v>10147</v>
      </c>
      <c r="B4419" t="s">
        <v>39</v>
      </c>
      <c r="C4419">
        <v>7648876604</v>
      </c>
      <c r="D4419" s="2">
        <v>1</v>
      </c>
      <c r="E4419" t="str">
        <f>"4574674200855245"</f>
        <v>4574674200855245</v>
      </c>
      <c r="F4419" t="str">
        <f>"473"</f>
        <v>473</v>
      </c>
      <c r="G4419">
        <v>1</v>
      </c>
      <c r="H4419">
        <v>2023</v>
      </c>
      <c r="I4419" t="s">
        <v>4534</v>
      </c>
    </row>
    <row r="4420" spans="1:9" x14ac:dyDescent="0.3">
      <c r="A4420" t="s">
        <v>10147</v>
      </c>
      <c r="B4420" t="s">
        <v>39</v>
      </c>
      <c r="C4420">
        <v>7648876604</v>
      </c>
      <c r="D4420" s="2">
        <v>1</v>
      </c>
      <c r="E4420" t="str">
        <f>"4574674200855286"</f>
        <v>4574674200855286</v>
      </c>
      <c r="F4420" t="str">
        <f>"254"</f>
        <v>254</v>
      </c>
      <c r="G4420">
        <v>1</v>
      </c>
      <c r="H4420">
        <v>2023</v>
      </c>
      <c r="I4420" t="s">
        <v>4535</v>
      </c>
    </row>
    <row r="4421" spans="1:9" x14ac:dyDescent="0.3">
      <c r="A4421" t="s">
        <v>10147</v>
      </c>
      <c r="B4421" t="s">
        <v>39</v>
      </c>
      <c r="C4421">
        <v>7648876604</v>
      </c>
      <c r="D4421" s="2">
        <v>1</v>
      </c>
      <c r="E4421" t="str">
        <f>"4574674200855294"</f>
        <v>4574674200855294</v>
      </c>
      <c r="F4421" t="str">
        <f>"050"</f>
        <v>050</v>
      </c>
      <c r="G4421">
        <v>1</v>
      </c>
      <c r="H4421">
        <v>2023</v>
      </c>
      <c r="I4421" t="s">
        <v>4536</v>
      </c>
    </row>
    <row r="4422" spans="1:9" x14ac:dyDescent="0.3">
      <c r="A4422" t="s">
        <v>10147</v>
      </c>
      <c r="B4422" t="s">
        <v>39</v>
      </c>
      <c r="C4422">
        <v>7648876604</v>
      </c>
      <c r="D4422" s="2">
        <v>1</v>
      </c>
      <c r="E4422" t="str">
        <f>"4574674200855492"</f>
        <v>4574674200855492</v>
      </c>
      <c r="F4422" t="str">
        <f>"812"</f>
        <v>812</v>
      </c>
      <c r="G4422">
        <v>1</v>
      </c>
      <c r="H4422">
        <v>2023</v>
      </c>
      <c r="I4422" t="s">
        <v>4537</v>
      </c>
    </row>
    <row r="4423" spans="1:9" x14ac:dyDescent="0.3">
      <c r="A4423" t="s">
        <v>10147</v>
      </c>
      <c r="B4423" t="s">
        <v>39</v>
      </c>
      <c r="C4423">
        <v>7648876604</v>
      </c>
      <c r="D4423" s="2">
        <v>1</v>
      </c>
      <c r="E4423" t="str">
        <f>"4574674200855328"</f>
        <v>4574674200855328</v>
      </c>
      <c r="F4423" t="str">
        <f>"019"</f>
        <v>019</v>
      </c>
      <c r="G4423">
        <v>1</v>
      </c>
      <c r="H4423">
        <v>2023</v>
      </c>
      <c r="I4423" t="s">
        <v>4538</v>
      </c>
    </row>
    <row r="4424" spans="1:9" x14ac:dyDescent="0.3">
      <c r="A4424" t="s">
        <v>10147</v>
      </c>
      <c r="B4424" t="s">
        <v>39</v>
      </c>
      <c r="C4424">
        <v>7648876604</v>
      </c>
      <c r="D4424" s="2">
        <v>1</v>
      </c>
      <c r="E4424" t="str">
        <f>"4574674200855542"</f>
        <v>4574674200855542</v>
      </c>
      <c r="F4424" t="str">
        <f>"321"</f>
        <v>321</v>
      </c>
      <c r="G4424">
        <v>1</v>
      </c>
      <c r="H4424">
        <v>2023</v>
      </c>
      <c r="I4424" t="s">
        <v>4539</v>
      </c>
    </row>
    <row r="4425" spans="1:9" x14ac:dyDescent="0.3">
      <c r="A4425" t="s">
        <v>10147</v>
      </c>
      <c r="B4425" t="s">
        <v>39</v>
      </c>
      <c r="C4425">
        <v>7648876604</v>
      </c>
      <c r="D4425" s="2">
        <v>1</v>
      </c>
      <c r="E4425" t="str">
        <f>"4574674200855369"</f>
        <v>4574674200855369</v>
      </c>
      <c r="F4425" t="str">
        <f>"178"</f>
        <v>178</v>
      </c>
      <c r="G4425">
        <v>1</v>
      </c>
      <c r="H4425">
        <v>2023</v>
      </c>
      <c r="I4425" t="s">
        <v>4540</v>
      </c>
    </row>
    <row r="4426" spans="1:9" x14ac:dyDescent="0.3">
      <c r="A4426" t="s">
        <v>10147</v>
      </c>
      <c r="B4426" t="s">
        <v>39</v>
      </c>
      <c r="C4426">
        <v>7648876604</v>
      </c>
      <c r="D4426" s="2">
        <v>1</v>
      </c>
      <c r="E4426" t="str">
        <f>"4574674200855385"</f>
        <v>4574674200855385</v>
      </c>
      <c r="F4426" t="str">
        <f>"141"</f>
        <v>141</v>
      </c>
      <c r="G4426">
        <v>1</v>
      </c>
      <c r="H4426">
        <v>2023</v>
      </c>
      <c r="I4426" t="s">
        <v>4541</v>
      </c>
    </row>
    <row r="4427" spans="1:9" x14ac:dyDescent="0.3">
      <c r="A4427" t="s">
        <v>10147</v>
      </c>
      <c r="B4427" t="s">
        <v>39</v>
      </c>
      <c r="C4427">
        <v>7648876604</v>
      </c>
      <c r="D4427" s="2">
        <v>1</v>
      </c>
      <c r="E4427" t="str">
        <f>"4574674200855823"</f>
        <v>4574674200855823</v>
      </c>
      <c r="F4427" t="str">
        <f>"244"</f>
        <v>244</v>
      </c>
      <c r="G4427">
        <v>1</v>
      </c>
      <c r="H4427">
        <v>2023</v>
      </c>
      <c r="I4427" t="s">
        <v>4542</v>
      </c>
    </row>
    <row r="4428" spans="1:9" x14ac:dyDescent="0.3">
      <c r="A4428" t="s">
        <v>10147</v>
      </c>
      <c r="B4428" t="s">
        <v>39</v>
      </c>
      <c r="C4428">
        <v>7648876604</v>
      </c>
      <c r="D4428" s="2">
        <v>1</v>
      </c>
      <c r="E4428" t="str">
        <f>"4574674200855831"</f>
        <v>4574674200855831</v>
      </c>
      <c r="F4428" t="str">
        <f>"584"</f>
        <v>584</v>
      </c>
      <c r="G4428">
        <v>1</v>
      </c>
      <c r="H4428">
        <v>2023</v>
      </c>
      <c r="I4428" t="s">
        <v>4543</v>
      </c>
    </row>
    <row r="4429" spans="1:9" x14ac:dyDescent="0.3">
      <c r="A4429" t="s">
        <v>10148</v>
      </c>
      <c r="B4429" t="s">
        <v>40</v>
      </c>
      <c r="C4429">
        <v>7648876604</v>
      </c>
      <c r="D4429" s="2">
        <v>1</v>
      </c>
      <c r="E4429" t="str">
        <f>"4574674200855666"</f>
        <v>4574674200855666</v>
      </c>
      <c r="F4429" t="str">
        <f>"230"</f>
        <v>230</v>
      </c>
      <c r="G4429">
        <v>1</v>
      </c>
      <c r="H4429">
        <v>2023</v>
      </c>
      <c r="I4429" t="s">
        <v>4544</v>
      </c>
    </row>
    <row r="4430" spans="1:9" x14ac:dyDescent="0.3">
      <c r="A4430" t="s">
        <v>10148</v>
      </c>
      <c r="B4430" t="s">
        <v>40</v>
      </c>
      <c r="C4430">
        <v>7648876604</v>
      </c>
      <c r="D4430" s="2">
        <v>1</v>
      </c>
      <c r="E4430" t="str">
        <f>"4574674200855708"</f>
        <v>4574674200855708</v>
      </c>
      <c r="F4430" t="str">
        <f>"896"</f>
        <v>896</v>
      </c>
      <c r="G4430">
        <v>1</v>
      </c>
      <c r="H4430">
        <v>2023</v>
      </c>
      <c r="I4430" t="s">
        <v>4545</v>
      </c>
    </row>
    <row r="4431" spans="1:9" x14ac:dyDescent="0.3">
      <c r="A4431" t="s">
        <v>10148</v>
      </c>
      <c r="B4431" t="s">
        <v>40</v>
      </c>
      <c r="C4431">
        <v>7648876604</v>
      </c>
      <c r="D4431" s="2">
        <v>1</v>
      </c>
      <c r="E4431" t="str">
        <f>"4574674200855849"</f>
        <v>4574674200855849</v>
      </c>
      <c r="F4431" t="str">
        <f>"795"</f>
        <v>795</v>
      </c>
      <c r="G4431">
        <v>1</v>
      </c>
      <c r="H4431">
        <v>2023</v>
      </c>
      <c r="I4431" t="s">
        <v>4546</v>
      </c>
    </row>
    <row r="4432" spans="1:9" x14ac:dyDescent="0.3">
      <c r="A4432" t="s">
        <v>10148</v>
      </c>
      <c r="B4432" t="s">
        <v>40</v>
      </c>
      <c r="C4432">
        <v>7648876604</v>
      </c>
      <c r="D4432" s="2">
        <v>1</v>
      </c>
      <c r="E4432" t="str">
        <f>"4574674200855948"</f>
        <v>4574674200855948</v>
      </c>
      <c r="F4432" t="str">
        <f>"076"</f>
        <v>076</v>
      </c>
      <c r="G4432">
        <v>1</v>
      </c>
      <c r="H4432">
        <v>2023</v>
      </c>
      <c r="I4432" t="s">
        <v>4547</v>
      </c>
    </row>
    <row r="4433" spans="1:9" x14ac:dyDescent="0.3">
      <c r="A4433" t="s">
        <v>10148</v>
      </c>
      <c r="B4433" t="s">
        <v>40</v>
      </c>
      <c r="C4433">
        <v>7648876604</v>
      </c>
      <c r="D4433" s="2">
        <v>1</v>
      </c>
      <c r="E4433" t="str">
        <f>"4574674200855898"</f>
        <v>4574674200855898</v>
      </c>
      <c r="F4433" t="str">
        <f>"381"</f>
        <v>381</v>
      </c>
      <c r="G4433">
        <v>1</v>
      </c>
      <c r="H4433">
        <v>2023</v>
      </c>
      <c r="I4433" t="s">
        <v>4548</v>
      </c>
    </row>
    <row r="4434" spans="1:9" x14ac:dyDescent="0.3">
      <c r="A4434" t="s">
        <v>10148</v>
      </c>
      <c r="B4434" t="s">
        <v>40</v>
      </c>
      <c r="C4434">
        <v>7648876604</v>
      </c>
      <c r="D4434" s="2">
        <v>1</v>
      </c>
      <c r="E4434" t="str">
        <f>"4574674200855930"</f>
        <v>4574674200855930</v>
      </c>
      <c r="F4434" t="str">
        <f>"710"</f>
        <v>710</v>
      </c>
      <c r="G4434">
        <v>1</v>
      </c>
      <c r="H4434">
        <v>2023</v>
      </c>
      <c r="I4434" t="s">
        <v>4549</v>
      </c>
    </row>
    <row r="4435" spans="1:9" x14ac:dyDescent="0.3">
      <c r="A4435" t="s">
        <v>10148</v>
      </c>
      <c r="B4435" t="s">
        <v>40</v>
      </c>
      <c r="C4435">
        <v>7648876604</v>
      </c>
      <c r="D4435" s="2">
        <v>1</v>
      </c>
      <c r="E4435" t="str">
        <f>"4574674200856029"</f>
        <v>4574674200856029</v>
      </c>
      <c r="F4435" t="str">
        <f>"152"</f>
        <v>152</v>
      </c>
      <c r="G4435">
        <v>1</v>
      </c>
      <c r="H4435">
        <v>2023</v>
      </c>
      <c r="I4435" t="s">
        <v>4550</v>
      </c>
    </row>
    <row r="4436" spans="1:9" x14ac:dyDescent="0.3">
      <c r="A4436" t="s">
        <v>10148</v>
      </c>
      <c r="B4436" t="s">
        <v>40</v>
      </c>
      <c r="C4436">
        <v>7648876604</v>
      </c>
      <c r="D4436" s="2">
        <v>1</v>
      </c>
      <c r="E4436" t="str">
        <f>"4574674200856037"</f>
        <v>4574674200856037</v>
      </c>
      <c r="F4436" t="str">
        <f>"811"</f>
        <v>811</v>
      </c>
      <c r="G4436">
        <v>1</v>
      </c>
      <c r="H4436">
        <v>2023</v>
      </c>
      <c r="I4436" t="s">
        <v>4551</v>
      </c>
    </row>
    <row r="4437" spans="1:9" x14ac:dyDescent="0.3">
      <c r="A4437" t="s">
        <v>10148</v>
      </c>
      <c r="B4437" t="s">
        <v>40</v>
      </c>
      <c r="C4437">
        <v>7648876604</v>
      </c>
      <c r="D4437" s="2">
        <v>1</v>
      </c>
      <c r="E4437" t="str">
        <f>"4574674200855955"</f>
        <v>4574674200855955</v>
      </c>
      <c r="F4437" t="str">
        <f>"982"</f>
        <v>982</v>
      </c>
      <c r="G4437">
        <v>1</v>
      </c>
      <c r="H4437">
        <v>2023</v>
      </c>
      <c r="I4437" t="s">
        <v>4552</v>
      </c>
    </row>
    <row r="4438" spans="1:9" x14ac:dyDescent="0.3">
      <c r="A4438" t="s">
        <v>10148</v>
      </c>
      <c r="B4438" t="s">
        <v>40</v>
      </c>
      <c r="C4438">
        <v>7648876604</v>
      </c>
      <c r="D4438" s="2">
        <v>1</v>
      </c>
      <c r="E4438" t="str">
        <f>"4574674200855963"</f>
        <v>4574674200855963</v>
      </c>
      <c r="F4438" t="str">
        <f>"051"</f>
        <v>051</v>
      </c>
      <c r="G4438">
        <v>1</v>
      </c>
      <c r="H4438">
        <v>2023</v>
      </c>
      <c r="I4438" t="s">
        <v>4553</v>
      </c>
    </row>
    <row r="4439" spans="1:9" x14ac:dyDescent="0.3">
      <c r="A4439" t="s">
        <v>10149</v>
      </c>
      <c r="B4439" t="s">
        <v>41</v>
      </c>
      <c r="C4439">
        <v>7648876604</v>
      </c>
      <c r="D4439" s="2">
        <v>1</v>
      </c>
      <c r="E4439" t="str">
        <f>"4574674200855997"</f>
        <v>4574674200855997</v>
      </c>
      <c r="F4439" t="str">
        <f>"006"</f>
        <v>006</v>
      </c>
      <c r="G4439">
        <v>1</v>
      </c>
      <c r="H4439">
        <v>2023</v>
      </c>
      <c r="I4439" t="s">
        <v>4554</v>
      </c>
    </row>
    <row r="4440" spans="1:9" x14ac:dyDescent="0.3">
      <c r="A4440" t="s">
        <v>10149</v>
      </c>
      <c r="B4440" t="s">
        <v>41</v>
      </c>
      <c r="C4440">
        <v>7648876604</v>
      </c>
      <c r="D4440" s="2">
        <v>1</v>
      </c>
      <c r="E4440" t="str">
        <f>"4574674200856227"</f>
        <v>4574674200856227</v>
      </c>
      <c r="F4440" t="str">
        <f>"305"</f>
        <v>305</v>
      </c>
      <c r="G4440">
        <v>1</v>
      </c>
      <c r="H4440">
        <v>2023</v>
      </c>
      <c r="I4440" t="s">
        <v>4555</v>
      </c>
    </row>
    <row r="4441" spans="1:9" x14ac:dyDescent="0.3">
      <c r="A4441" t="s">
        <v>10149</v>
      </c>
      <c r="B4441" t="s">
        <v>41</v>
      </c>
      <c r="C4441">
        <v>7648876604</v>
      </c>
      <c r="D4441" s="2">
        <v>1</v>
      </c>
      <c r="E4441" t="str">
        <f>"4574674200856250"</f>
        <v>4574674200856250</v>
      </c>
      <c r="F4441" t="str">
        <f>"137"</f>
        <v>137</v>
      </c>
      <c r="G4441">
        <v>1</v>
      </c>
      <c r="H4441">
        <v>2023</v>
      </c>
      <c r="I4441" t="s">
        <v>4556</v>
      </c>
    </row>
    <row r="4442" spans="1:9" x14ac:dyDescent="0.3">
      <c r="A4442" t="s">
        <v>10149</v>
      </c>
      <c r="B4442" t="s">
        <v>41</v>
      </c>
      <c r="C4442">
        <v>7648876604</v>
      </c>
      <c r="D4442" s="2">
        <v>1</v>
      </c>
      <c r="E4442" t="str">
        <f>"4574674200856409"</f>
        <v>4574674200856409</v>
      </c>
      <c r="F4442" t="str">
        <f>"715"</f>
        <v>715</v>
      </c>
      <c r="G4442">
        <v>1</v>
      </c>
      <c r="H4442">
        <v>2023</v>
      </c>
      <c r="I4442" t="s">
        <v>4557</v>
      </c>
    </row>
    <row r="4443" spans="1:9" x14ac:dyDescent="0.3">
      <c r="A4443" t="s">
        <v>10149</v>
      </c>
      <c r="B4443" t="s">
        <v>41</v>
      </c>
      <c r="C4443">
        <v>7648876604</v>
      </c>
      <c r="D4443" s="2">
        <v>1</v>
      </c>
      <c r="E4443" t="str">
        <f>"4574674200856425"</f>
        <v>4574674200856425</v>
      </c>
      <c r="F4443" t="str">
        <f>"788"</f>
        <v>788</v>
      </c>
      <c r="G4443">
        <v>1</v>
      </c>
      <c r="H4443">
        <v>2023</v>
      </c>
      <c r="I4443" t="s">
        <v>4558</v>
      </c>
    </row>
    <row r="4444" spans="1:9" x14ac:dyDescent="0.3">
      <c r="A4444" t="s">
        <v>10149</v>
      </c>
      <c r="B4444" t="s">
        <v>41</v>
      </c>
      <c r="C4444">
        <v>7648876604</v>
      </c>
      <c r="D4444" s="2">
        <v>1</v>
      </c>
      <c r="E4444" t="str">
        <f>"4574674200856276"</f>
        <v>4574674200856276</v>
      </c>
      <c r="F4444" t="str">
        <f>"932"</f>
        <v>932</v>
      </c>
      <c r="G4444">
        <v>1</v>
      </c>
      <c r="H4444">
        <v>2023</v>
      </c>
      <c r="I4444" t="s">
        <v>4559</v>
      </c>
    </row>
    <row r="4445" spans="1:9" x14ac:dyDescent="0.3">
      <c r="A4445" t="s">
        <v>10149</v>
      </c>
      <c r="B4445" t="s">
        <v>41</v>
      </c>
      <c r="C4445">
        <v>7648876604</v>
      </c>
      <c r="D4445" s="2">
        <v>1</v>
      </c>
      <c r="E4445" t="str">
        <f>"4574674200856326"</f>
        <v>4574674200856326</v>
      </c>
      <c r="F4445" t="str">
        <f>"392"</f>
        <v>392</v>
      </c>
      <c r="G4445">
        <v>1</v>
      </c>
      <c r="H4445">
        <v>2023</v>
      </c>
      <c r="I4445" t="s">
        <v>4560</v>
      </c>
    </row>
    <row r="4446" spans="1:9" x14ac:dyDescent="0.3">
      <c r="A4446" t="s">
        <v>10149</v>
      </c>
      <c r="B4446" t="s">
        <v>41</v>
      </c>
      <c r="C4446">
        <v>7648876604</v>
      </c>
      <c r="D4446" s="2">
        <v>1</v>
      </c>
      <c r="E4446" t="str">
        <f>"4574674200856292"</f>
        <v>4574674200856292</v>
      </c>
      <c r="F4446" t="str">
        <f>"371"</f>
        <v>371</v>
      </c>
      <c r="G4446">
        <v>1</v>
      </c>
      <c r="H4446">
        <v>2023</v>
      </c>
      <c r="I4446" t="s">
        <v>4561</v>
      </c>
    </row>
    <row r="4447" spans="1:9" x14ac:dyDescent="0.3">
      <c r="A4447" t="s">
        <v>10149</v>
      </c>
      <c r="B4447" t="s">
        <v>41</v>
      </c>
      <c r="C4447">
        <v>7648876604</v>
      </c>
      <c r="D4447" s="2">
        <v>1</v>
      </c>
      <c r="E4447" t="str">
        <f>"4574674200856318"</f>
        <v>4574674200856318</v>
      </c>
      <c r="F4447" t="str">
        <f>"181"</f>
        <v>181</v>
      </c>
      <c r="G4447">
        <v>1</v>
      </c>
      <c r="H4447">
        <v>2023</v>
      </c>
      <c r="I4447" t="s">
        <v>4562</v>
      </c>
    </row>
    <row r="4448" spans="1:9" x14ac:dyDescent="0.3">
      <c r="A4448" t="s">
        <v>10149</v>
      </c>
      <c r="B4448" t="s">
        <v>41</v>
      </c>
      <c r="C4448">
        <v>7648876604</v>
      </c>
      <c r="D4448" s="2">
        <v>1</v>
      </c>
      <c r="E4448" t="str">
        <f>"4574674200856334"</f>
        <v>4574674200856334</v>
      </c>
      <c r="F4448" t="str">
        <f>"957"</f>
        <v>957</v>
      </c>
      <c r="G4448">
        <v>1</v>
      </c>
      <c r="H4448">
        <v>2023</v>
      </c>
      <c r="I4448" t="s">
        <v>4563</v>
      </c>
    </row>
    <row r="4449" spans="1:9" x14ac:dyDescent="0.3">
      <c r="A4449" t="s">
        <v>10150</v>
      </c>
      <c r="B4449" t="s">
        <v>42</v>
      </c>
      <c r="C4449">
        <v>7648876604</v>
      </c>
      <c r="D4449" s="2">
        <v>1</v>
      </c>
      <c r="E4449" t="str">
        <f>"4574674200856532"</f>
        <v>4574674200856532</v>
      </c>
      <c r="F4449" t="str">
        <f>"839"</f>
        <v>839</v>
      </c>
      <c r="G4449">
        <v>1</v>
      </c>
      <c r="H4449">
        <v>2023</v>
      </c>
      <c r="I4449" t="s">
        <v>4564</v>
      </c>
    </row>
    <row r="4450" spans="1:9" x14ac:dyDescent="0.3">
      <c r="A4450" t="s">
        <v>10150</v>
      </c>
      <c r="B4450" t="s">
        <v>42</v>
      </c>
      <c r="C4450">
        <v>7648876604</v>
      </c>
      <c r="D4450" s="2">
        <v>1</v>
      </c>
      <c r="E4450" t="str">
        <f>"4574674200856615"</f>
        <v>4574674200856615</v>
      </c>
      <c r="F4450" t="str">
        <f>"028"</f>
        <v>028</v>
      </c>
      <c r="G4450">
        <v>1</v>
      </c>
      <c r="H4450">
        <v>2023</v>
      </c>
      <c r="I4450" t="s">
        <v>4565</v>
      </c>
    </row>
    <row r="4451" spans="1:9" x14ac:dyDescent="0.3">
      <c r="A4451" t="s">
        <v>10150</v>
      </c>
      <c r="B4451" t="s">
        <v>42</v>
      </c>
      <c r="C4451">
        <v>7648876604</v>
      </c>
      <c r="D4451" s="2">
        <v>1</v>
      </c>
      <c r="E4451" t="str">
        <f>"4574674200856847"</f>
        <v>4574674200856847</v>
      </c>
      <c r="F4451" t="str">
        <f>"684"</f>
        <v>684</v>
      </c>
      <c r="G4451">
        <v>1</v>
      </c>
      <c r="H4451">
        <v>2023</v>
      </c>
      <c r="I4451" t="s">
        <v>4566</v>
      </c>
    </row>
    <row r="4452" spans="1:9" x14ac:dyDescent="0.3">
      <c r="A4452" t="s">
        <v>10150</v>
      </c>
      <c r="B4452" t="s">
        <v>42</v>
      </c>
      <c r="C4452">
        <v>7648876604</v>
      </c>
      <c r="D4452" s="2">
        <v>1</v>
      </c>
      <c r="E4452" t="str">
        <f>"4574674200856839"</f>
        <v>4574674200856839</v>
      </c>
      <c r="F4452" t="str">
        <f>"938"</f>
        <v>938</v>
      </c>
      <c r="G4452">
        <v>1</v>
      </c>
      <c r="H4452">
        <v>2023</v>
      </c>
      <c r="I4452" t="s">
        <v>4567</v>
      </c>
    </row>
    <row r="4453" spans="1:9" x14ac:dyDescent="0.3">
      <c r="A4453" t="s">
        <v>10150</v>
      </c>
      <c r="B4453" t="s">
        <v>42</v>
      </c>
      <c r="C4453">
        <v>7648876604</v>
      </c>
      <c r="D4453" s="2">
        <v>1</v>
      </c>
      <c r="E4453" t="str">
        <f>"4574674200856391"</f>
        <v>4574674200856391</v>
      </c>
      <c r="F4453" t="str">
        <f>"328"</f>
        <v>328</v>
      </c>
      <c r="G4453">
        <v>1</v>
      </c>
      <c r="H4453">
        <v>2023</v>
      </c>
      <c r="I4453" t="s">
        <v>4568</v>
      </c>
    </row>
    <row r="4454" spans="1:9" x14ac:dyDescent="0.3">
      <c r="A4454" t="s">
        <v>10150</v>
      </c>
      <c r="B4454" t="s">
        <v>42</v>
      </c>
      <c r="C4454">
        <v>7648876604</v>
      </c>
      <c r="D4454" s="2">
        <v>1</v>
      </c>
      <c r="E4454" t="str">
        <f>"4574674200856821"</f>
        <v>4574674200856821</v>
      </c>
      <c r="F4454" t="str">
        <f>"811"</f>
        <v>811</v>
      </c>
      <c r="G4454">
        <v>1</v>
      </c>
      <c r="H4454">
        <v>2023</v>
      </c>
      <c r="I4454" t="s">
        <v>4569</v>
      </c>
    </row>
    <row r="4455" spans="1:9" x14ac:dyDescent="0.3">
      <c r="A4455" t="s">
        <v>10150</v>
      </c>
      <c r="B4455" t="s">
        <v>42</v>
      </c>
      <c r="C4455">
        <v>7648876604</v>
      </c>
      <c r="D4455" s="2">
        <v>1</v>
      </c>
      <c r="E4455" t="str">
        <f>"4574674200856854"</f>
        <v>4574674200856854</v>
      </c>
      <c r="F4455" t="str">
        <f>"273"</f>
        <v>273</v>
      </c>
      <c r="G4455">
        <v>1</v>
      </c>
      <c r="H4455">
        <v>2023</v>
      </c>
      <c r="I4455" t="s">
        <v>4570</v>
      </c>
    </row>
    <row r="4456" spans="1:9" x14ac:dyDescent="0.3">
      <c r="A4456" t="s">
        <v>10150</v>
      </c>
      <c r="B4456" t="s">
        <v>42</v>
      </c>
      <c r="C4456">
        <v>7648876604</v>
      </c>
      <c r="D4456" s="2">
        <v>1</v>
      </c>
      <c r="E4456" t="str">
        <f>"4574674200856714"</f>
        <v>4574674200856714</v>
      </c>
      <c r="F4456" t="str">
        <f>"480"</f>
        <v>480</v>
      </c>
      <c r="G4456">
        <v>1</v>
      </c>
      <c r="H4456">
        <v>2023</v>
      </c>
      <c r="I4456" t="s">
        <v>4571</v>
      </c>
    </row>
    <row r="4457" spans="1:9" x14ac:dyDescent="0.3">
      <c r="A4457" t="s">
        <v>10150</v>
      </c>
      <c r="B4457" t="s">
        <v>42</v>
      </c>
      <c r="C4457">
        <v>7648876604</v>
      </c>
      <c r="D4457" s="2">
        <v>1</v>
      </c>
      <c r="E4457" t="str">
        <f>"4574674200857001"</f>
        <v>4574674200857001</v>
      </c>
      <c r="F4457" t="str">
        <f>"345"</f>
        <v>345</v>
      </c>
      <c r="G4457">
        <v>1</v>
      </c>
      <c r="H4457">
        <v>2023</v>
      </c>
      <c r="I4457" t="s">
        <v>4572</v>
      </c>
    </row>
    <row r="4458" spans="1:9" x14ac:dyDescent="0.3">
      <c r="A4458" t="s">
        <v>10150</v>
      </c>
      <c r="B4458" t="s">
        <v>42</v>
      </c>
      <c r="C4458">
        <v>7648876604</v>
      </c>
      <c r="D4458" s="2">
        <v>1</v>
      </c>
      <c r="E4458" t="str">
        <f>"4574674200857092"</f>
        <v>4574674200857092</v>
      </c>
      <c r="F4458" t="str">
        <f>"997"</f>
        <v>997</v>
      </c>
      <c r="G4458">
        <v>1</v>
      </c>
      <c r="H4458">
        <v>2023</v>
      </c>
      <c r="I4458" t="s">
        <v>4573</v>
      </c>
    </row>
    <row r="4459" spans="1:9" x14ac:dyDescent="0.3">
      <c r="A4459" t="s">
        <v>10147</v>
      </c>
      <c r="B4459" t="s">
        <v>39</v>
      </c>
      <c r="C4459">
        <v>7648876604</v>
      </c>
      <c r="D4459" s="2">
        <v>1</v>
      </c>
      <c r="E4459" t="str">
        <f>"4574674200857183"</f>
        <v>4574674200857183</v>
      </c>
      <c r="F4459" t="str">
        <f>"552"</f>
        <v>552</v>
      </c>
      <c r="G4459">
        <v>1</v>
      </c>
      <c r="H4459">
        <v>2023</v>
      </c>
      <c r="I4459" t="s">
        <v>4574</v>
      </c>
    </row>
    <row r="4460" spans="1:9" x14ac:dyDescent="0.3">
      <c r="A4460" t="s">
        <v>10147</v>
      </c>
      <c r="B4460" t="s">
        <v>39</v>
      </c>
      <c r="C4460">
        <v>7648876604</v>
      </c>
      <c r="D4460" s="2">
        <v>1</v>
      </c>
      <c r="E4460" t="str">
        <f>"4574674200856946"</f>
        <v>4574674200856946</v>
      </c>
      <c r="F4460" t="str">
        <f>"046"</f>
        <v>046</v>
      </c>
      <c r="G4460">
        <v>1</v>
      </c>
      <c r="H4460">
        <v>2023</v>
      </c>
      <c r="I4460" t="s">
        <v>4575</v>
      </c>
    </row>
    <row r="4461" spans="1:9" x14ac:dyDescent="0.3">
      <c r="A4461" t="s">
        <v>10147</v>
      </c>
      <c r="B4461" t="s">
        <v>39</v>
      </c>
      <c r="C4461">
        <v>7648876604</v>
      </c>
      <c r="D4461" s="2">
        <v>1</v>
      </c>
      <c r="E4461" t="str">
        <f>"4574674200857407"</f>
        <v>4574674200857407</v>
      </c>
      <c r="F4461" t="str">
        <f>"166"</f>
        <v>166</v>
      </c>
      <c r="G4461">
        <v>1</v>
      </c>
      <c r="H4461">
        <v>2023</v>
      </c>
      <c r="I4461" t="s">
        <v>4576</v>
      </c>
    </row>
    <row r="4462" spans="1:9" x14ac:dyDescent="0.3">
      <c r="A4462" t="s">
        <v>10147</v>
      </c>
      <c r="B4462" t="s">
        <v>39</v>
      </c>
      <c r="C4462">
        <v>7648876604</v>
      </c>
      <c r="D4462" s="2">
        <v>1</v>
      </c>
      <c r="E4462" t="str">
        <f>"4574674200857241"</f>
        <v>4574674200857241</v>
      </c>
      <c r="F4462" t="str">
        <f>"323"</f>
        <v>323</v>
      </c>
      <c r="G4462">
        <v>1</v>
      </c>
      <c r="H4462">
        <v>2023</v>
      </c>
      <c r="I4462" t="s">
        <v>4577</v>
      </c>
    </row>
    <row r="4463" spans="1:9" x14ac:dyDescent="0.3">
      <c r="A4463" t="s">
        <v>10147</v>
      </c>
      <c r="B4463" t="s">
        <v>39</v>
      </c>
      <c r="C4463">
        <v>7648876604</v>
      </c>
      <c r="D4463" s="2">
        <v>1</v>
      </c>
      <c r="E4463" t="str">
        <f>"4574674200857357"</f>
        <v>4574674200857357</v>
      </c>
      <c r="F4463" t="str">
        <f>"123"</f>
        <v>123</v>
      </c>
      <c r="G4463">
        <v>1</v>
      </c>
      <c r="H4463">
        <v>2023</v>
      </c>
      <c r="I4463" t="s">
        <v>4578</v>
      </c>
    </row>
    <row r="4464" spans="1:9" x14ac:dyDescent="0.3">
      <c r="A4464" t="s">
        <v>10147</v>
      </c>
      <c r="B4464" t="s">
        <v>39</v>
      </c>
      <c r="C4464">
        <v>7648876604</v>
      </c>
      <c r="D4464" s="2">
        <v>1</v>
      </c>
      <c r="E4464" t="str">
        <f>"4574674200857605"</f>
        <v>4574674200857605</v>
      </c>
      <c r="F4464" t="str">
        <f>"214"</f>
        <v>214</v>
      </c>
      <c r="G4464">
        <v>1</v>
      </c>
      <c r="H4464">
        <v>2023</v>
      </c>
      <c r="I4464" t="s">
        <v>4579</v>
      </c>
    </row>
    <row r="4465" spans="1:9" x14ac:dyDescent="0.3">
      <c r="A4465" t="s">
        <v>10147</v>
      </c>
      <c r="B4465" t="s">
        <v>39</v>
      </c>
      <c r="C4465">
        <v>7648876604</v>
      </c>
      <c r="D4465" s="2">
        <v>1</v>
      </c>
      <c r="E4465" t="str">
        <f>"4574674200857498"</f>
        <v>4574674200857498</v>
      </c>
      <c r="F4465" t="str">
        <f>"058"</f>
        <v>058</v>
      </c>
      <c r="G4465">
        <v>1</v>
      </c>
      <c r="H4465">
        <v>2023</v>
      </c>
      <c r="I4465" t="s">
        <v>4580</v>
      </c>
    </row>
    <row r="4466" spans="1:9" x14ac:dyDescent="0.3">
      <c r="A4466" t="s">
        <v>10147</v>
      </c>
      <c r="B4466" t="s">
        <v>39</v>
      </c>
      <c r="C4466">
        <v>7648876604</v>
      </c>
      <c r="D4466" s="2">
        <v>1</v>
      </c>
      <c r="E4466" t="str">
        <f>"4574674200857514"</f>
        <v>4574674200857514</v>
      </c>
      <c r="F4466" t="str">
        <f>"040"</f>
        <v>040</v>
      </c>
      <c r="G4466">
        <v>1</v>
      </c>
      <c r="H4466">
        <v>2023</v>
      </c>
      <c r="I4466" t="s">
        <v>4581</v>
      </c>
    </row>
    <row r="4467" spans="1:9" x14ac:dyDescent="0.3">
      <c r="A4467" t="s">
        <v>10147</v>
      </c>
      <c r="B4467" t="s">
        <v>39</v>
      </c>
      <c r="C4467">
        <v>7648876604</v>
      </c>
      <c r="D4467" s="2">
        <v>1</v>
      </c>
      <c r="E4467" t="str">
        <f>"4574674200857456"</f>
        <v>4574674200857456</v>
      </c>
      <c r="F4467" t="str">
        <f>"768"</f>
        <v>768</v>
      </c>
      <c r="G4467">
        <v>1</v>
      </c>
      <c r="H4467">
        <v>2023</v>
      </c>
      <c r="I4467" t="s">
        <v>4582</v>
      </c>
    </row>
    <row r="4468" spans="1:9" x14ac:dyDescent="0.3">
      <c r="A4468" t="s">
        <v>10147</v>
      </c>
      <c r="B4468" t="s">
        <v>39</v>
      </c>
      <c r="C4468">
        <v>7648876604</v>
      </c>
      <c r="D4468" s="2">
        <v>1</v>
      </c>
      <c r="E4468" t="str">
        <f>"4574674200857522"</f>
        <v>4574674200857522</v>
      </c>
      <c r="F4468" t="str">
        <f>"775"</f>
        <v>775</v>
      </c>
      <c r="G4468">
        <v>1</v>
      </c>
      <c r="H4468">
        <v>2023</v>
      </c>
      <c r="I4468" t="s">
        <v>4583</v>
      </c>
    </row>
    <row r="4469" spans="1:9" x14ac:dyDescent="0.3">
      <c r="A4469" t="s">
        <v>10148</v>
      </c>
      <c r="B4469" t="s">
        <v>40</v>
      </c>
      <c r="C4469">
        <v>7648876604</v>
      </c>
      <c r="D4469" s="2">
        <v>1</v>
      </c>
      <c r="E4469" t="str">
        <f>"4574674200857530"</f>
        <v>4574674200857530</v>
      </c>
      <c r="F4469" t="str">
        <f>"144"</f>
        <v>144</v>
      </c>
      <c r="G4469">
        <v>1</v>
      </c>
      <c r="H4469">
        <v>2023</v>
      </c>
      <c r="I4469" t="s">
        <v>4584</v>
      </c>
    </row>
    <row r="4470" spans="1:9" x14ac:dyDescent="0.3">
      <c r="A4470" t="s">
        <v>10148</v>
      </c>
      <c r="B4470" t="s">
        <v>40</v>
      </c>
      <c r="C4470">
        <v>7648876604</v>
      </c>
      <c r="D4470" s="2">
        <v>1</v>
      </c>
      <c r="E4470" t="str">
        <f>"4574674200857696"</f>
        <v>4574674200857696</v>
      </c>
      <c r="F4470" t="str">
        <f>"296"</f>
        <v>296</v>
      </c>
      <c r="G4470">
        <v>1</v>
      </c>
      <c r="H4470">
        <v>2023</v>
      </c>
      <c r="I4470" t="s">
        <v>4585</v>
      </c>
    </row>
    <row r="4471" spans="1:9" x14ac:dyDescent="0.3">
      <c r="A4471" t="s">
        <v>10148</v>
      </c>
      <c r="B4471" t="s">
        <v>40</v>
      </c>
      <c r="C4471">
        <v>7648876604</v>
      </c>
      <c r="D4471" s="2">
        <v>1</v>
      </c>
      <c r="E4471" t="str">
        <f>"4574674200857712"</f>
        <v>4574674200857712</v>
      </c>
      <c r="F4471" t="str">
        <f>"842"</f>
        <v>842</v>
      </c>
      <c r="G4471">
        <v>1</v>
      </c>
      <c r="H4471">
        <v>2023</v>
      </c>
      <c r="I4471" t="s">
        <v>4586</v>
      </c>
    </row>
    <row r="4472" spans="1:9" x14ac:dyDescent="0.3">
      <c r="A4472" t="s">
        <v>10148</v>
      </c>
      <c r="B4472" t="s">
        <v>40</v>
      </c>
      <c r="C4472">
        <v>7648876604</v>
      </c>
      <c r="D4472" s="2">
        <v>1</v>
      </c>
      <c r="E4472" t="str">
        <f>"4574674200857563"</f>
        <v>4574674200857563</v>
      </c>
      <c r="F4472" t="str">
        <f>"992"</f>
        <v>992</v>
      </c>
      <c r="G4472">
        <v>1</v>
      </c>
      <c r="H4472">
        <v>2023</v>
      </c>
      <c r="I4472" t="s">
        <v>4587</v>
      </c>
    </row>
    <row r="4473" spans="1:9" x14ac:dyDescent="0.3">
      <c r="A4473" t="s">
        <v>10148</v>
      </c>
      <c r="B4473" t="s">
        <v>40</v>
      </c>
      <c r="C4473">
        <v>7648876604</v>
      </c>
      <c r="D4473" s="2">
        <v>1</v>
      </c>
      <c r="E4473" t="str">
        <f>"4574674200857811"</f>
        <v>4574674200857811</v>
      </c>
      <c r="F4473" t="str">
        <f>"099"</f>
        <v>099</v>
      </c>
      <c r="G4473">
        <v>1</v>
      </c>
      <c r="H4473">
        <v>2023</v>
      </c>
      <c r="I4473" t="s">
        <v>4588</v>
      </c>
    </row>
    <row r="4474" spans="1:9" x14ac:dyDescent="0.3">
      <c r="A4474" t="s">
        <v>10148</v>
      </c>
      <c r="B4474" t="s">
        <v>40</v>
      </c>
      <c r="C4474">
        <v>7648876604</v>
      </c>
      <c r="D4474" s="2">
        <v>1</v>
      </c>
      <c r="E4474" t="str">
        <f>"4574674200857829"</f>
        <v>4574674200857829</v>
      </c>
      <c r="F4474" t="str">
        <f>"155"</f>
        <v>155</v>
      </c>
      <c r="G4474">
        <v>1</v>
      </c>
      <c r="H4474">
        <v>2023</v>
      </c>
      <c r="I4474" t="s">
        <v>4589</v>
      </c>
    </row>
    <row r="4475" spans="1:9" x14ac:dyDescent="0.3">
      <c r="A4475" t="s">
        <v>10148</v>
      </c>
      <c r="B4475" t="s">
        <v>40</v>
      </c>
      <c r="C4475">
        <v>7648876604</v>
      </c>
      <c r="D4475" s="2">
        <v>1</v>
      </c>
      <c r="E4475" t="str">
        <f>"4574674200858009"</f>
        <v>4574674200858009</v>
      </c>
      <c r="F4475" t="str">
        <f>"981"</f>
        <v>981</v>
      </c>
      <c r="G4475">
        <v>1</v>
      </c>
      <c r="H4475">
        <v>2023</v>
      </c>
      <c r="I4475" t="s">
        <v>4590</v>
      </c>
    </row>
    <row r="4476" spans="1:9" x14ac:dyDescent="0.3">
      <c r="A4476" t="s">
        <v>10148</v>
      </c>
      <c r="B4476" t="s">
        <v>40</v>
      </c>
      <c r="C4476">
        <v>7648876604</v>
      </c>
      <c r="D4476" s="2">
        <v>1</v>
      </c>
      <c r="E4476" t="str">
        <f>"4574674200857860"</f>
        <v>4574674200857860</v>
      </c>
      <c r="F4476" t="str">
        <f>"770"</f>
        <v>770</v>
      </c>
      <c r="G4476">
        <v>1</v>
      </c>
      <c r="H4476">
        <v>2023</v>
      </c>
      <c r="I4476" t="s">
        <v>4591</v>
      </c>
    </row>
    <row r="4477" spans="1:9" x14ac:dyDescent="0.3">
      <c r="A4477" t="s">
        <v>10148</v>
      </c>
      <c r="B4477" t="s">
        <v>40</v>
      </c>
      <c r="C4477">
        <v>7648876604</v>
      </c>
      <c r="D4477" s="2">
        <v>1</v>
      </c>
      <c r="E4477" t="str">
        <f>"4574674200857878"</f>
        <v>4574674200857878</v>
      </c>
      <c r="F4477" t="str">
        <f>"883"</f>
        <v>883</v>
      </c>
      <c r="G4477">
        <v>1</v>
      </c>
      <c r="H4477">
        <v>2023</v>
      </c>
      <c r="I4477" t="s">
        <v>4592</v>
      </c>
    </row>
    <row r="4478" spans="1:9" x14ac:dyDescent="0.3">
      <c r="A4478" t="s">
        <v>10148</v>
      </c>
      <c r="B4478" t="s">
        <v>40</v>
      </c>
      <c r="C4478">
        <v>7648876604</v>
      </c>
      <c r="D4478" s="2">
        <v>1</v>
      </c>
      <c r="E4478" t="str">
        <f>"4574674200857902"</f>
        <v>4574674200857902</v>
      </c>
      <c r="F4478" t="str">
        <f>"366"</f>
        <v>366</v>
      </c>
      <c r="G4478">
        <v>1</v>
      </c>
      <c r="H4478">
        <v>2023</v>
      </c>
      <c r="I4478" t="s">
        <v>4593</v>
      </c>
    </row>
    <row r="4479" spans="1:9" x14ac:dyDescent="0.3">
      <c r="A4479" t="s">
        <v>10149</v>
      </c>
      <c r="B4479" t="s">
        <v>41</v>
      </c>
      <c r="C4479">
        <v>7648876604</v>
      </c>
      <c r="D4479" s="2">
        <v>1</v>
      </c>
      <c r="E4479" t="str">
        <f>"4574674200857936"</f>
        <v>4574674200857936</v>
      </c>
      <c r="F4479" t="str">
        <f>"085"</f>
        <v>085</v>
      </c>
      <c r="G4479">
        <v>1</v>
      </c>
      <c r="H4479">
        <v>2023</v>
      </c>
      <c r="I4479" t="s">
        <v>4594</v>
      </c>
    </row>
    <row r="4480" spans="1:9" x14ac:dyDescent="0.3">
      <c r="A4480" t="s">
        <v>10149</v>
      </c>
      <c r="B4480" t="s">
        <v>41</v>
      </c>
      <c r="C4480">
        <v>7648876604</v>
      </c>
      <c r="D4480" s="2">
        <v>1</v>
      </c>
      <c r="E4480" t="str">
        <f>"4574674200858116"</f>
        <v>4574674200858116</v>
      </c>
      <c r="F4480" t="str">
        <f>"951"</f>
        <v>951</v>
      </c>
      <c r="G4480">
        <v>1</v>
      </c>
      <c r="H4480">
        <v>2023</v>
      </c>
      <c r="I4480" t="s">
        <v>4595</v>
      </c>
    </row>
    <row r="4481" spans="1:9" x14ac:dyDescent="0.3">
      <c r="A4481" t="s">
        <v>10149</v>
      </c>
      <c r="B4481" t="s">
        <v>41</v>
      </c>
      <c r="C4481">
        <v>7648876604</v>
      </c>
      <c r="D4481" s="2">
        <v>1</v>
      </c>
      <c r="E4481" t="str">
        <f>"4574674200857951"</f>
        <v>4574674200857951</v>
      </c>
      <c r="F4481" t="str">
        <f>"143"</f>
        <v>143</v>
      </c>
      <c r="G4481">
        <v>1</v>
      </c>
      <c r="H4481">
        <v>2023</v>
      </c>
      <c r="I4481" t="s">
        <v>4596</v>
      </c>
    </row>
    <row r="4482" spans="1:9" x14ac:dyDescent="0.3">
      <c r="A4482" t="s">
        <v>10149</v>
      </c>
      <c r="B4482" t="s">
        <v>41</v>
      </c>
      <c r="C4482">
        <v>7648876604</v>
      </c>
      <c r="D4482" s="2">
        <v>1</v>
      </c>
      <c r="E4482" t="str">
        <f>"4574674200857977"</f>
        <v>4574674200857977</v>
      </c>
      <c r="F4482" t="str">
        <f>"095"</f>
        <v>095</v>
      </c>
      <c r="G4482">
        <v>1</v>
      </c>
      <c r="H4482">
        <v>2023</v>
      </c>
      <c r="I4482" t="s">
        <v>4597</v>
      </c>
    </row>
    <row r="4483" spans="1:9" x14ac:dyDescent="0.3">
      <c r="A4483" t="s">
        <v>10149</v>
      </c>
      <c r="B4483" t="s">
        <v>41</v>
      </c>
      <c r="C4483">
        <v>7648876604</v>
      </c>
      <c r="D4483" s="2">
        <v>1</v>
      </c>
      <c r="E4483" t="str">
        <f>"4574674200858215"</f>
        <v>4574674200858215</v>
      </c>
      <c r="F4483" t="str">
        <f>"816"</f>
        <v>816</v>
      </c>
      <c r="G4483">
        <v>1</v>
      </c>
      <c r="H4483">
        <v>2023</v>
      </c>
      <c r="I4483" t="s">
        <v>4598</v>
      </c>
    </row>
    <row r="4484" spans="1:9" x14ac:dyDescent="0.3">
      <c r="A4484" t="s">
        <v>10149</v>
      </c>
      <c r="B4484" t="s">
        <v>41</v>
      </c>
      <c r="C4484">
        <v>7648876604</v>
      </c>
      <c r="D4484" s="2">
        <v>1</v>
      </c>
      <c r="E4484" t="str">
        <f>"4574674200858157"</f>
        <v>4574674200858157</v>
      </c>
      <c r="F4484" t="str">
        <f>"306"</f>
        <v>306</v>
      </c>
      <c r="G4484">
        <v>1</v>
      </c>
      <c r="H4484">
        <v>2023</v>
      </c>
      <c r="I4484" t="s">
        <v>4599</v>
      </c>
    </row>
    <row r="4485" spans="1:9" x14ac:dyDescent="0.3">
      <c r="A4485" t="s">
        <v>10149</v>
      </c>
      <c r="B4485" t="s">
        <v>41</v>
      </c>
      <c r="C4485">
        <v>7648876604</v>
      </c>
      <c r="D4485" s="2">
        <v>1</v>
      </c>
      <c r="E4485" t="str">
        <f>"4574674200858272"</f>
        <v>4574674200858272</v>
      </c>
      <c r="F4485" t="str">
        <f>"933"</f>
        <v>933</v>
      </c>
      <c r="G4485">
        <v>1</v>
      </c>
      <c r="H4485">
        <v>2023</v>
      </c>
      <c r="I4485" t="s">
        <v>4600</v>
      </c>
    </row>
    <row r="4486" spans="1:9" x14ac:dyDescent="0.3">
      <c r="A4486" t="s">
        <v>10149</v>
      </c>
      <c r="B4486" t="s">
        <v>41</v>
      </c>
      <c r="C4486">
        <v>7648876604</v>
      </c>
      <c r="D4486" s="2">
        <v>1</v>
      </c>
      <c r="E4486" t="str">
        <f>"4574674200858298"</f>
        <v>4574674200858298</v>
      </c>
      <c r="F4486" t="str">
        <f>"314"</f>
        <v>314</v>
      </c>
      <c r="G4486">
        <v>1</v>
      </c>
      <c r="H4486">
        <v>2023</v>
      </c>
      <c r="I4486" t="s">
        <v>4601</v>
      </c>
    </row>
    <row r="4487" spans="1:9" x14ac:dyDescent="0.3">
      <c r="A4487" t="s">
        <v>10149</v>
      </c>
      <c r="B4487" t="s">
        <v>41</v>
      </c>
      <c r="C4487">
        <v>7648876604</v>
      </c>
      <c r="D4487" s="2">
        <v>1</v>
      </c>
      <c r="E4487" t="str">
        <f>"4574674200858280"</f>
        <v>4574674200858280</v>
      </c>
      <c r="F4487" t="str">
        <f>"359"</f>
        <v>359</v>
      </c>
      <c r="G4487">
        <v>1</v>
      </c>
      <c r="H4487">
        <v>2023</v>
      </c>
      <c r="I4487" t="s">
        <v>4602</v>
      </c>
    </row>
    <row r="4488" spans="1:9" x14ac:dyDescent="0.3">
      <c r="A4488" t="s">
        <v>10149</v>
      </c>
      <c r="B4488" t="s">
        <v>41</v>
      </c>
      <c r="C4488">
        <v>7648876604</v>
      </c>
      <c r="D4488" s="2">
        <v>1</v>
      </c>
      <c r="E4488" t="str">
        <f>"4574674200858306"</f>
        <v>4574674200858306</v>
      </c>
      <c r="F4488" t="str">
        <f>"962"</f>
        <v>962</v>
      </c>
      <c r="G4488">
        <v>1</v>
      </c>
      <c r="H4488">
        <v>2023</v>
      </c>
      <c r="I4488" t="s">
        <v>4603</v>
      </c>
    </row>
    <row r="4489" spans="1:9" x14ac:dyDescent="0.3">
      <c r="A4489" t="s">
        <v>10150</v>
      </c>
      <c r="B4489" t="s">
        <v>42</v>
      </c>
      <c r="C4489">
        <v>7648876604</v>
      </c>
      <c r="D4489" s="2">
        <v>1</v>
      </c>
      <c r="E4489" t="str">
        <f>"4574674200858322"</f>
        <v>4574674200858322</v>
      </c>
      <c r="F4489" t="str">
        <f>"511"</f>
        <v>511</v>
      </c>
      <c r="G4489">
        <v>1</v>
      </c>
      <c r="H4489">
        <v>2023</v>
      </c>
      <c r="I4489" t="s">
        <v>4604</v>
      </c>
    </row>
    <row r="4490" spans="1:9" x14ac:dyDescent="0.3">
      <c r="A4490" t="s">
        <v>10150</v>
      </c>
      <c r="B4490" t="s">
        <v>42</v>
      </c>
      <c r="C4490">
        <v>7648876604</v>
      </c>
      <c r="D4490" s="2">
        <v>1</v>
      </c>
      <c r="E4490" t="str">
        <f>"4574674200858579"</f>
        <v>4574674200858579</v>
      </c>
      <c r="F4490" t="str">
        <f>"351"</f>
        <v>351</v>
      </c>
      <c r="G4490">
        <v>1</v>
      </c>
      <c r="H4490">
        <v>2023</v>
      </c>
      <c r="I4490" t="s">
        <v>4605</v>
      </c>
    </row>
    <row r="4491" spans="1:9" x14ac:dyDescent="0.3">
      <c r="A4491" t="s">
        <v>10150</v>
      </c>
      <c r="B4491" t="s">
        <v>42</v>
      </c>
      <c r="C4491">
        <v>7648876604</v>
      </c>
      <c r="D4491" s="2">
        <v>1</v>
      </c>
      <c r="E4491" t="str">
        <f>"4574674200858371"</f>
        <v>4574674200858371</v>
      </c>
      <c r="F4491" t="str">
        <f>"447"</f>
        <v>447</v>
      </c>
      <c r="G4491">
        <v>1</v>
      </c>
      <c r="H4491">
        <v>2023</v>
      </c>
      <c r="I4491" t="s">
        <v>4606</v>
      </c>
    </row>
    <row r="4492" spans="1:9" x14ac:dyDescent="0.3">
      <c r="A4492" t="s">
        <v>10150</v>
      </c>
      <c r="B4492" t="s">
        <v>42</v>
      </c>
      <c r="C4492">
        <v>7648876604</v>
      </c>
      <c r="D4492" s="2">
        <v>1</v>
      </c>
      <c r="E4492" t="str">
        <f>"4574674200858603"</f>
        <v>4574674200858603</v>
      </c>
      <c r="F4492" t="str">
        <f>"816"</f>
        <v>816</v>
      </c>
      <c r="G4492">
        <v>1</v>
      </c>
      <c r="H4492">
        <v>2023</v>
      </c>
      <c r="I4492" t="s">
        <v>4607</v>
      </c>
    </row>
    <row r="4493" spans="1:9" x14ac:dyDescent="0.3">
      <c r="A4493" t="s">
        <v>10150</v>
      </c>
      <c r="B4493" t="s">
        <v>42</v>
      </c>
      <c r="C4493">
        <v>7648876604</v>
      </c>
      <c r="D4493" s="2">
        <v>1</v>
      </c>
      <c r="E4493" t="str">
        <f>"4574674200858694"</f>
        <v>4574674200858694</v>
      </c>
      <c r="F4493" t="str">
        <f>"082"</f>
        <v>082</v>
      </c>
      <c r="G4493">
        <v>1</v>
      </c>
      <c r="H4493">
        <v>2023</v>
      </c>
      <c r="I4493" t="s">
        <v>4608</v>
      </c>
    </row>
    <row r="4494" spans="1:9" x14ac:dyDescent="0.3">
      <c r="A4494" t="s">
        <v>10150</v>
      </c>
      <c r="B4494" t="s">
        <v>42</v>
      </c>
      <c r="C4494">
        <v>7648876604</v>
      </c>
      <c r="D4494" s="2">
        <v>1</v>
      </c>
      <c r="E4494" t="str">
        <f>"4574674200858397"</f>
        <v>4574674200858397</v>
      </c>
      <c r="F4494" t="str">
        <f>"132"</f>
        <v>132</v>
      </c>
      <c r="G4494">
        <v>1</v>
      </c>
      <c r="H4494">
        <v>2023</v>
      </c>
      <c r="I4494" t="s">
        <v>4609</v>
      </c>
    </row>
    <row r="4495" spans="1:9" x14ac:dyDescent="0.3">
      <c r="A4495" t="s">
        <v>10150</v>
      </c>
      <c r="B4495" t="s">
        <v>42</v>
      </c>
      <c r="C4495">
        <v>7648876604</v>
      </c>
      <c r="D4495" s="2">
        <v>1</v>
      </c>
      <c r="E4495" t="str">
        <f>"4574674200858769"</f>
        <v>4574674200858769</v>
      </c>
      <c r="F4495" t="str">
        <f>"144"</f>
        <v>144</v>
      </c>
      <c r="G4495">
        <v>1</v>
      </c>
      <c r="H4495">
        <v>2023</v>
      </c>
      <c r="I4495" t="s">
        <v>4610</v>
      </c>
    </row>
    <row r="4496" spans="1:9" x14ac:dyDescent="0.3">
      <c r="A4496" t="s">
        <v>10150</v>
      </c>
      <c r="B4496" t="s">
        <v>42</v>
      </c>
      <c r="C4496">
        <v>7648876604</v>
      </c>
      <c r="D4496" s="2">
        <v>1</v>
      </c>
      <c r="E4496" t="str">
        <f>"4574674200858819"</f>
        <v>4574674200858819</v>
      </c>
      <c r="F4496" t="str">
        <f>"312"</f>
        <v>312</v>
      </c>
      <c r="G4496">
        <v>1</v>
      </c>
      <c r="H4496">
        <v>2023</v>
      </c>
      <c r="I4496" t="s">
        <v>4611</v>
      </c>
    </row>
    <row r="4497" spans="1:9" x14ac:dyDescent="0.3">
      <c r="A4497" t="s">
        <v>10150</v>
      </c>
      <c r="B4497" t="s">
        <v>42</v>
      </c>
      <c r="C4497">
        <v>7648876604</v>
      </c>
      <c r="D4497" s="2">
        <v>1</v>
      </c>
      <c r="E4497" t="str">
        <f>"4574674200858827"</f>
        <v>4574674200858827</v>
      </c>
      <c r="F4497" t="str">
        <f>"485"</f>
        <v>485</v>
      </c>
      <c r="G4497">
        <v>1</v>
      </c>
      <c r="H4497">
        <v>2023</v>
      </c>
      <c r="I4497" t="s">
        <v>4612</v>
      </c>
    </row>
    <row r="4498" spans="1:9" x14ac:dyDescent="0.3">
      <c r="A4498" t="s">
        <v>10150</v>
      </c>
      <c r="B4498" t="s">
        <v>42</v>
      </c>
      <c r="C4498">
        <v>7648876604</v>
      </c>
      <c r="D4498" s="2">
        <v>1</v>
      </c>
      <c r="E4498" t="str">
        <f>"4574674200858850"</f>
        <v>4574674200858850</v>
      </c>
      <c r="F4498" t="str">
        <f>"164"</f>
        <v>164</v>
      </c>
      <c r="G4498">
        <v>1</v>
      </c>
      <c r="H4498">
        <v>2023</v>
      </c>
      <c r="I4498" t="s">
        <v>4613</v>
      </c>
    </row>
    <row r="4499" spans="1:9" x14ac:dyDescent="0.3">
      <c r="A4499" t="s">
        <v>10151</v>
      </c>
      <c r="B4499" t="s">
        <v>43</v>
      </c>
      <c r="C4499">
        <v>7648876604</v>
      </c>
      <c r="D4499" s="2">
        <v>1</v>
      </c>
      <c r="E4499" t="str">
        <f>"4574674200858900"</f>
        <v>4574674200858900</v>
      </c>
      <c r="F4499" t="str">
        <f>"699"</f>
        <v>699</v>
      </c>
      <c r="G4499">
        <v>1</v>
      </c>
      <c r="H4499">
        <v>2023</v>
      </c>
      <c r="I4499" t="s">
        <v>4614</v>
      </c>
    </row>
    <row r="4500" spans="1:9" x14ac:dyDescent="0.3">
      <c r="A4500" t="s">
        <v>10151</v>
      </c>
      <c r="B4500" t="s">
        <v>43</v>
      </c>
      <c r="C4500">
        <v>7648876604</v>
      </c>
      <c r="D4500" s="2">
        <v>1</v>
      </c>
      <c r="E4500" t="str">
        <f>"4574674200858918"</f>
        <v>4574674200858918</v>
      </c>
      <c r="F4500" t="str">
        <f>"157"</f>
        <v>157</v>
      </c>
      <c r="G4500">
        <v>1</v>
      </c>
      <c r="H4500">
        <v>2023</v>
      </c>
      <c r="I4500" t="s">
        <v>4615</v>
      </c>
    </row>
    <row r="4501" spans="1:9" x14ac:dyDescent="0.3">
      <c r="A4501" t="s">
        <v>10151</v>
      </c>
      <c r="B4501" t="s">
        <v>43</v>
      </c>
      <c r="C4501">
        <v>7648876604</v>
      </c>
      <c r="D4501" s="2">
        <v>1</v>
      </c>
      <c r="E4501" t="str">
        <f>"4574674200858959"</f>
        <v>4574674200858959</v>
      </c>
      <c r="F4501" t="str">
        <f>"158"</f>
        <v>158</v>
      </c>
      <c r="G4501">
        <v>1</v>
      </c>
      <c r="H4501">
        <v>2023</v>
      </c>
      <c r="I4501" t="s">
        <v>4616</v>
      </c>
    </row>
    <row r="4502" spans="1:9" x14ac:dyDescent="0.3">
      <c r="A4502" t="s">
        <v>10151</v>
      </c>
      <c r="B4502" t="s">
        <v>43</v>
      </c>
      <c r="C4502">
        <v>7648876604</v>
      </c>
      <c r="D4502" s="2">
        <v>1</v>
      </c>
      <c r="E4502" t="str">
        <f>"4574674200858926"</f>
        <v>4574674200858926</v>
      </c>
      <c r="F4502" t="str">
        <f>"752"</f>
        <v>752</v>
      </c>
      <c r="G4502">
        <v>1</v>
      </c>
      <c r="H4502">
        <v>2023</v>
      </c>
      <c r="I4502" t="s">
        <v>4617</v>
      </c>
    </row>
    <row r="4503" spans="1:9" x14ac:dyDescent="0.3">
      <c r="A4503" t="s">
        <v>10151</v>
      </c>
      <c r="B4503" t="s">
        <v>43</v>
      </c>
      <c r="C4503">
        <v>7648876604</v>
      </c>
      <c r="D4503" s="2">
        <v>1</v>
      </c>
      <c r="E4503" t="str">
        <f>"4574674200858991"</f>
        <v>4574674200858991</v>
      </c>
      <c r="F4503" t="str">
        <f>"545"</f>
        <v>545</v>
      </c>
      <c r="G4503">
        <v>1</v>
      </c>
      <c r="H4503">
        <v>2023</v>
      </c>
      <c r="I4503" t="s">
        <v>4618</v>
      </c>
    </row>
    <row r="4504" spans="1:9" x14ac:dyDescent="0.3">
      <c r="A4504" t="s">
        <v>10151</v>
      </c>
      <c r="B4504" t="s">
        <v>43</v>
      </c>
      <c r="C4504">
        <v>7648876604</v>
      </c>
      <c r="D4504" s="2">
        <v>1</v>
      </c>
      <c r="E4504" t="str">
        <f>"4574674200859197"</f>
        <v>4574674200859197</v>
      </c>
      <c r="F4504" t="str">
        <f>"281"</f>
        <v>281</v>
      </c>
      <c r="G4504">
        <v>1</v>
      </c>
      <c r="H4504">
        <v>2023</v>
      </c>
      <c r="I4504" t="s">
        <v>4619</v>
      </c>
    </row>
    <row r="4505" spans="1:9" x14ac:dyDescent="0.3">
      <c r="A4505" t="s">
        <v>10151</v>
      </c>
      <c r="B4505" t="s">
        <v>43</v>
      </c>
      <c r="C4505">
        <v>7648876604</v>
      </c>
      <c r="D4505" s="2">
        <v>1</v>
      </c>
      <c r="E4505" t="str">
        <f>"4574674200859247"</f>
        <v>4574674200859247</v>
      </c>
      <c r="F4505" t="str">
        <f>"672"</f>
        <v>672</v>
      </c>
      <c r="G4505">
        <v>1</v>
      </c>
      <c r="H4505">
        <v>2023</v>
      </c>
      <c r="I4505" t="s">
        <v>4620</v>
      </c>
    </row>
    <row r="4506" spans="1:9" x14ac:dyDescent="0.3">
      <c r="A4506" t="s">
        <v>10151</v>
      </c>
      <c r="B4506" t="s">
        <v>43</v>
      </c>
      <c r="C4506">
        <v>7648876604</v>
      </c>
      <c r="D4506" s="2">
        <v>1</v>
      </c>
      <c r="E4506" t="str">
        <f>"4574674200859221"</f>
        <v>4574674200859221</v>
      </c>
      <c r="F4506" t="str">
        <f>"039"</f>
        <v>039</v>
      </c>
      <c r="G4506">
        <v>1</v>
      </c>
      <c r="H4506">
        <v>2023</v>
      </c>
      <c r="I4506" t="s">
        <v>4621</v>
      </c>
    </row>
    <row r="4507" spans="1:9" x14ac:dyDescent="0.3">
      <c r="A4507" t="s">
        <v>10151</v>
      </c>
      <c r="B4507" t="s">
        <v>43</v>
      </c>
      <c r="C4507">
        <v>7648876604</v>
      </c>
      <c r="D4507" s="2">
        <v>1</v>
      </c>
      <c r="E4507" t="str">
        <f>"4574674200859239"</f>
        <v>4574674200859239</v>
      </c>
      <c r="F4507" t="str">
        <f>"995"</f>
        <v>995</v>
      </c>
      <c r="G4507">
        <v>1</v>
      </c>
      <c r="H4507">
        <v>2023</v>
      </c>
      <c r="I4507" t="s">
        <v>4622</v>
      </c>
    </row>
    <row r="4508" spans="1:9" x14ac:dyDescent="0.3">
      <c r="A4508" t="s">
        <v>10151</v>
      </c>
      <c r="B4508" t="s">
        <v>43</v>
      </c>
      <c r="C4508">
        <v>7648876604</v>
      </c>
      <c r="D4508" s="2">
        <v>1</v>
      </c>
      <c r="E4508" t="str">
        <f>"4574674200859270"</f>
        <v>4574674200859270</v>
      </c>
      <c r="F4508" t="str">
        <f>"692"</f>
        <v>692</v>
      </c>
      <c r="G4508">
        <v>1</v>
      </c>
      <c r="H4508">
        <v>2023</v>
      </c>
      <c r="I4508" t="s">
        <v>4623</v>
      </c>
    </row>
    <row r="4509" spans="1:9" x14ac:dyDescent="0.3">
      <c r="A4509" t="s">
        <v>10152</v>
      </c>
      <c r="B4509" t="s">
        <v>44</v>
      </c>
      <c r="C4509">
        <v>7648876604</v>
      </c>
      <c r="D4509" s="2">
        <v>1</v>
      </c>
      <c r="E4509" t="str">
        <f>"4574674200859403"</f>
        <v>4574674200859403</v>
      </c>
      <c r="F4509" t="str">
        <f>"565"</f>
        <v>565</v>
      </c>
      <c r="G4509">
        <v>1</v>
      </c>
      <c r="H4509">
        <v>2023</v>
      </c>
      <c r="I4509" t="s">
        <v>4624</v>
      </c>
    </row>
    <row r="4510" spans="1:9" x14ac:dyDescent="0.3">
      <c r="A4510" t="s">
        <v>10152</v>
      </c>
      <c r="B4510" t="s">
        <v>44</v>
      </c>
      <c r="C4510">
        <v>7648876604</v>
      </c>
      <c r="D4510" s="2">
        <v>1</v>
      </c>
      <c r="E4510" t="str">
        <f>"4574674200859304"</f>
        <v>4574674200859304</v>
      </c>
      <c r="F4510" t="str">
        <f>"486"</f>
        <v>486</v>
      </c>
      <c r="G4510">
        <v>1</v>
      </c>
      <c r="H4510">
        <v>2023</v>
      </c>
      <c r="I4510" t="s">
        <v>4625</v>
      </c>
    </row>
    <row r="4511" spans="1:9" x14ac:dyDescent="0.3">
      <c r="A4511" t="s">
        <v>10152</v>
      </c>
      <c r="B4511" t="s">
        <v>44</v>
      </c>
      <c r="C4511">
        <v>7648876604</v>
      </c>
      <c r="D4511" s="2">
        <v>1</v>
      </c>
      <c r="E4511" t="str">
        <f>"4574674200859353"</f>
        <v>4574674200859353</v>
      </c>
      <c r="F4511" t="str">
        <f>"281"</f>
        <v>281</v>
      </c>
      <c r="G4511">
        <v>1</v>
      </c>
      <c r="H4511">
        <v>2023</v>
      </c>
      <c r="I4511" t="s">
        <v>4626</v>
      </c>
    </row>
    <row r="4512" spans="1:9" x14ac:dyDescent="0.3">
      <c r="A4512" t="s">
        <v>10152</v>
      </c>
      <c r="B4512" t="s">
        <v>44</v>
      </c>
      <c r="C4512">
        <v>7648876604</v>
      </c>
      <c r="D4512" s="2">
        <v>1</v>
      </c>
      <c r="E4512" t="str">
        <f>"4574674200859379"</f>
        <v>4574674200859379</v>
      </c>
      <c r="F4512" t="str">
        <f>"608"</f>
        <v>608</v>
      </c>
      <c r="G4512">
        <v>1</v>
      </c>
      <c r="H4512">
        <v>2023</v>
      </c>
      <c r="I4512" t="s">
        <v>4627</v>
      </c>
    </row>
    <row r="4513" spans="1:9" x14ac:dyDescent="0.3">
      <c r="A4513" t="s">
        <v>10152</v>
      </c>
      <c r="B4513" t="s">
        <v>44</v>
      </c>
      <c r="C4513">
        <v>7648876604</v>
      </c>
      <c r="D4513" s="2">
        <v>1</v>
      </c>
      <c r="E4513" t="str">
        <f>"4574674200859387"</f>
        <v>4574674200859387</v>
      </c>
      <c r="F4513" t="str">
        <f>"867"</f>
        <v>867</v>
      </c>
      <c r="G4513">
        <v>1</v>
      </c>
      <c r="H4513">
        <v>2023</v>
      </c>
      <c r="I4513" t="s">
        <v>4628</v>
      </c>
    </row>
    <row r="4514" spans="1:9" x14ac:dyDescent="0.3">
      <c r="A4514" t="s">
        <v>10152</v>
      </c>
      <c r="B4514" t="s">
        <v>44</v>
      </c>
      <c r="C4514">
        <v>7648876604</v>
      </c>
      <c r="D4514" s="2">
        <v>1</v>
      </c>
      <c r="E4514" t="str">
        <f>"4574674200859601"</f>
        <v>4574674200859601</v>
      </c>
      <c r="F4514" t="str">
        <f>"763"</f>
        <v>763</v>
      </c>
      <c r="G4514">
        <v>1</v>
      </c>
      <c r="H4514">
        <v>2023</v>
      </c>
      <c r="I4514" t="s">
        <v>4629</v>
      </c>
    </row>
    <row r="4515" spans="1:9" x14ac:dyDescent="0.3">
      <c r="A4515" t="s">
        <v>10152</v>
      </c>
      <c r="B4515" t="s">
        <v>44</v>
      </c>
      <c r="C4515">
        <v>7648876604</v>
      </c>
      <c r="D4515" s="2">
        <v>1</v>
      </c>
      <c r="E4515" t="str">
        <f>"4574674200859510"</f>
        <v>4574674200859510</v>
      </c>
      <c r="F4515" t="str">
        <f>"113"</f>
        <v>113</v>
      </c>
      <c r="G4515">
        <v>1</v>
      </c>
      <c r="H4515">
        <v>2023</v>
      </c>
      <c r="I4515" t="s">
        <v>4630</v>
      </c>
    </row>
    <row r="4516" spans="1:9" x14ac:dyDescent="0.3">
      <c r="A4516" t="s">
        <v>10152</v>
      </c>
      <c r="B4516" t="s">
        <v>44</v>
      </c>
      <c r="C4516">
        <v>7648876604</v>
      </c>
      <c r="D4516" s="2">
        <v>1</v>
      </c>
      <c r="E4516" t="str">
        <f>"4574674200859569"</f>
        <v>4574674200859569</v>
      </c>
      <c r="F4516" t="str">
        <f>"558"</f>
        <v>558</v>
      </c>
      <c r="G4516">
        <v>1</v>
      </c>
      <c r="H4516">
        <v>2023</v>
      </c>
      <c r="I4516" t="s">
        <v>4631</v>
      </c>
    </row>
    <row r="4517" spans="1:9" x14ac:dyDescent="0.3">
      <c r="A4517" t="s">
        <v>10152</v>
      </c>
      <c r="B4517" t="s">
        <v>44</v>
      </c>
      <c r="C4517">
        <v>7648876604</v>
      </c>
      <c r="D4517" s="2">
        <v>1</v>
      </c>
      <c r="E4517" t="str">
        <f>"4574674200859635"</f>
        <v>4574674200859635</v>
      </c>
      <c r="F4517" t="str">
        <f>"434"</f>
        <v>434</v>
      </c>
      <c r="G4517">
        <v>1</v>
      </c>
      <c r="H4517">
        <v>2023</v>
      </c>
      <c r="I4517" t="s">
        <v>4632</v>
      </c>
    </row>
    <row r="4518" spans="1:9" x14ac:dyDescent="0.3">
      <c r="A4518" t="s">
        <v>10152</v>
      </c>
      <c r="B4518" t="s">
        <v>44</v>
      </c>
      <c r="C4518">
        <v>7648876604</v>
      </c>
      <c r="D4518" s="2">
        <v>1</v>
      </c>
      <c r="E4518" t="str">
        <f>"4574674200859676"</f>
        <v>4574674200859676</v>
      </c>
      <c r="F4518" t="str">
        <f>"259"</f>
        <v>259</v>
      </c>
      <c r="G4518">
        <v>1</v>
      </c>
      <c r="H4518">
        <v>2023</v>
      </c>
      <c r="I4518" t="s">
        <v>4633</v>
      </c>
    </row>
    <row r="4519" spans="1:9" x14ac:dyDescent="0.3">
      <c r="A4519" t="s">
        <v>10153</v>
      </c>
      <c r="B4519" t="s">
        <v>45</v>
      </c>
      <c r="C4519">
        <v>7648876604</v>
      </c>
      <c r="D4519" s="2">
        <v>1</v>
      </c>
      <c r="E4519" t="str">
        <f>"4574674200859650"</f>
        <v>4574674200859650</v>
      </c>
      <c r="F4519" t="str">
        <f>"082"</f>
        <v>082</v>
      </c>
      <c r="G4519">
        <v>1</v>
      </c>
      <c r="H4519">
        <v>2023</v>
      </c>
      <c r="I4519" t="s">
        <v>4634</v>
      </c>
    </row>
    <row r="4520" spans="1:9" x14ac:dyDescent="0.3">
      <c r="A4520" t="s">
        <v>10153</v>
      </c>
      <c r="B4520" t="s">
        <v>45</v>
      </c>
      <c r="C4520">
        <v>7648876604</v>
      </c>
      <c r="D4520" s="2">
        <v>1</v>
      </c>
      <c r="E4520" t="str">
        <f>"4574674200859825"</f>
        <v>4574674200859825</v>
      </c>
      <c r="F4520" t="str">
        <f>"908"</f>
        <v>908</v>
      </c>
      <c r="G4520">
        <v>1</v>
      </c>
      <c r="H4520">
        <v>2023</v>
      </c>
      <c r="I4520" t="s">
        <v>4635</v>
      </c>
    </row>
    <row r="4521" spans="1:9" x14ac:dyDescent="0.3">
      <c r="A4521" t="s">
        <v>10153</v>
      </c>
      <c r="B4521" t="s">
        <v>45</v>
      </c>
      <c r="C4521">
        <v>7648876604</v>
      </c>
      <c r="D4521" s="2">
        <v>1</v>
      </c>
      <c r="E4521" t="str">
        <f>"4574674200859700"</f>
        <v>4574674200859700</v>
      </c>
      <c r="F4521" t="str">
        <f>"222"</f>
        <v>222</v>
      </c>
      <c r="G4521">
        <v>1</v>
      </c>
      <c r="H4521">
        <v>2023</v>
      </c>
      <c r="I4521" t="s">
        <v>4636</v>
      </c>
    </row>
    <row r="4522" spans="1:9" x14ac:dyDescent="0.3">
      <c r="A4522" t="s">
        <v>10153</v>
      </c>
      <c r="B4522" t="s">
        <v>45</v>
      </c>
      <c r="C4522">
        <v>7648876604</v>
      </c>
      <c r="D4522" s="2">
        <v>1</v>
      </c>
      <c r="E4522" t="str">
        <f>"4574674200859718"</f>
        <v>4574674200859718</v>
      </c>
      <c r="F4522" t="str">
        <f>"519"</f>
        <v>519</v>
      </c>
      <c r="G4522">
        <v>1</v>
      </c>
      <c r="H4522">
        <v>2023</v>
      </c>
      <c r="I4522" t="s">
        <v>4637</v>
      </c>
    </row>
    <row r="4523" spans="1:9" x14ac:dyDescent="0.3">
      <c r="A4523" t="s">
        <v>10153</v>
      </c>
      <c r="B4523" t="s">
        <v>45</v>
      </c>
      <c r="C4523">
        <v>7648876604</v>
      </c>
      <c r="D4523" s="2">
        <v>1</v>
      </c>
      <c r="E4523" t="str">
        <f>"4574674200859965"</f>
        <v>4574674200859965</v>
      </c>
      <c r="F4523" t="str">
        <f>"981"</f>
        <v>981</v>
      </c>
      <c r="G4523">
        <v>1</v>
      </c>
      <c r="H4523">
        <v>2023</v>
      </c>
      <c r="I4523" t="s">
        <v>4638</v>
      </c>
    </row>
    <row r="4524" spans="1:9" x14ac:dyDescent="0.3">
      <c r="A4524" t="s">
        <v>10153</v>
      </c>
      <c r="B4524" t="s">
        <v>45</v>
      </c>
      <c r="C4524">
        <v>7648876604</v>
      </c>
      <c r="D4524" s="2">
        <v>1</v>
      </c>
      <c r="E4524" t="str">
        <f>"4574674200859759"</f>
        <v>4574674200859759</v>
      </c>
      <c r="F4524" t="str">
        <f>"271"</f>
        <v>271</v>
      </c>
      <c r="G4524">
        <v>1</v>
      </c>
      <c r="H4524">
        <v>2023</v>
      </c>
      <c r="I4524" t="s">
        <v>4639</v>
      </c>
    </row>
    <row r="4525" spans="1:9" x14ac:dyDescent="0.3">
      <c r="A4525" t="s">
        <v>10153</v>
      </c>
      <c r="B4525" t="s">
        <v>45</v>
      </c>
      <c r="C4525">
        <v>7648876604</v>
      </c>
      <c r="D4525" s="2">
        <v>1</v>
      </c>
      <c r="E4525" t="str">
        <f>"4574674200859783"</f>
        <v>4574674200859783</v>
      </c>
      <c r="F4525" t="str">
        <f>"952"</f>
        <v>952</v>
      </c>
      <c r="G4525">
        <v>1</v>
      </c>
      <c r="H4525">
        <v>2023</v>
      </c>
      <c r="I4525" t="s">
        <v>4640</v>
      </c>
    </row>
    <row r="4526" spans="1:9" x14ac:dyDescent="0.3">
      <c r="A4526" t="s">
        <v>10153</v>
      </c>
      <c r="B4526" t="s">
        <v>45</v>
      </c>
      <c r="C4526">
        <v>7648876604</v>
      </c>
      <c r="D4526" s="2">
        <v>1</v>
      </c>
      <c r="E4526" t="str">
        <f>"4574674200859791"</f>
        <v>4574674200859791</v>
      </c>
      <c r="F4526" t="str">
        <f>"078"</f>
        <v>078</v>
      </c>
      <c r="G4526">
        <v>1</v>
      </c>
      <c r="H4526">
        <v>2023</v>
      </c>
      <c r="I4526" t="s">
        <v>4641</v>
      </c>
    </row>
    <row r="4527" spans="1:9" x14ac:dyDescent="0.3">
      <c r="A4527" t="s">
        <v>10153</v>
      </c>
      <c r="B4527" t="s">
        <v>45</v>
      </c>
      <c r="C4527">
        <v>7648876604</v>
      </c>
      <c r="D4527" s="2">
        <v>1</v>
      </c>
      <c r="E4527" t="str">
        <f>"4574674200859981"</f>
        <v>4574674200859981</v>
      </c>
      <c r="F4527" t="str">
        <f>"849"</f>
        <v>849</v>
      </c>
      <c r="G4527">
        <v>1</v>
      </c>
      <c r="H4527">
        <v>2023</v>
      </c>
      <c r="I4527" t="s">
        <v>4642</v>
      </c>
    </row>
    <row r="4528" spans="1:9" x14ac:dyDescent="0.3">
      <c r="A4528" t="s">
        <v>10153</v>
      </c>
      <c r="B4528" t="s">
        <v>45</v>
      </c>
      <c r="C4528">
        <v>7648876604</v>
      </c>
      <c r="D4528" s="2">
        <v>1</v>
      </c>
      <c r="E4528" t="str">
        <f>"4574674200860021"</f>
        <v>4574674200860021</v>
      </c>
      <c r="F4528" t="str">
        <f>"713"</f>
        <v>713</v>
      </c>
      <c r="G4528">
        <v>1</v>
      </c>
      <c r="H4528">
        <v>2023</v>
      </c>
      <c r="I4528" t="s">
        <v>4643</v>
      </c>
    </row>
    <row r="4529" spans="1:9" x14ac:dyDescent="0.3">
      <c r="A4529" t="s">
        <v>10142</v>
      </c>
      <c r="B4529" t="s">
        <v>34</v>
      </c>
      <c r="C4529">
        <v>7648876604</v>
      </c>
      <c r="D4529" s="2">
        <v>1</v>
      </c>
      <c r="E4529" t="str">
        <f>"4574674200860039"</f>
        <v>4574674200860039</v>
      </c>
      <c r="F4529" t="str">
        <f>"079"</f>
        <v>079</v>
      </c>
      <c r="G4529">
        <v>1</v>
      </c>
      <c r="H4529">
        <v>2023</v>
      </c>
      <c r="I4529" t="s">
        <v>4644</v>
      </c>
    </row>
    <row r="4530" spans="1:9" x14ac:dyDescent="0.3">
      <c r="A4530" t="s">
        <v>10142</v>
      </c>
      <c r="B4530" t="s">
        <v>34</v>
      </c>
      <c r="C4530">
        <v>7648876604</v>
      </c>
      <c r="D4530" s="2">
        <v>1</v>
      </c>
      <c r="E4530" t="str">
        <f>"4574674200860054"</f>
        <v>4574674200860054</v>
      </c>
      <c r="F4530" t="str">
        <f>"894"</f>
        <v>894</v>
      </c>
      <c r="G4530">
        <v>1</v>
      </c>
      <c r="H4530">
        <v>2023</v>
      </c>
      <c r="I4530" t="s">
        <v>4645</v>
      </c>
    </row>
    <row r="4531" spans="1:9" x14ac:dyDescent="0.3">
      <c r="A4531" t="s">
        <v>10142</v>
      </c>
      <c r="B4531" t="s">
        <v>34</v>
      </c>
      <c r="C4531">
        <v>7648876604</v>
      </c>
      <c r="D4531" s="2">
        <v>1</v>
      </c>
      <c r="E4531" t="str">
        <f>"4574674200860328"</f>
        <v>4574674200860328</v>
      </c>
      <c r="F4531" t="str">
        <f>"772"</f>
        <v>772</v>
      </c>
      <c r="G4531">
        <v>1</v>
      </c>
      <c r="H4531">
        <v>2023</v>
      </c>
      <c r="I4531" t="s">
        <v>4646</v>
      </c>
    </row>
    <row r="4532" spans="1:9" x14ac:dyDescent="0.3">
      <c r="A4532" t="s">
        <v>10142</v>
      </c>
      <c r="B4532" t="s">
        <v>34</v>
      </c>
      <c r="C4532">
        <v>7648876604</v>
      </c>
      <c r="D4532" s="2">
        <v>1</v>
      </c>
      <c r="E4532" t="str">
        <f>"4574674200860336"</f>
        <v>4574674200860336</v>
      </c>
      <c r="F4532" t="str">
        <f>"707"</f>
        <v>707</v>
      </c>
      <c r="G4532">
        <v>1</v>
      </c>
      <c r="H4532">
        <v>2023</v>
      </c>
      <c r="I4532" t="s">
        <v>4647</v>
      </c>
    </row>
    <row r="4533" spans="1:9" x14ac:dyDescent="0.3">
      <c r="A4533" t="s">
        <v>10142</v>
      </c>
      <c r="B4533" t="s">
        <v>34</v>
      </c>
      <c r="C4533">
        <v>7648876604</v>
      </c>
      <c r="D4533" s="2">
        <v>1</v>
      </c>
      <c r="E4533" t="str">
        <f>"4574674200860120"</f>
        <v>4574674200860120</v>
      </c>
      <c r="F4533" t="str">
        <f>"289"</f>
        <v>289</v>
      </c>
      <c r="G4533">
        <v>1</v>
      </c>
      <c r="H4533">
        <v>2023</v>
      </c>
      <c r="I4533" t="s">
        <v>4648</v>
      </c>
    </row>
    <row r="4534" spans="1:9" x14ac:dyDescent="0.3">
      <c r="A4534" t="s">
        <v>10142</v>
      </c>
      <c r="B4534" t="s">
        <v>34</v>
      </c>
      <c r="C4534">
        <v>7648876604</v>
      </c>
      <c r="D4534" s="2">
        <v>1</v>
      </c>
      <c r="E4534" t="str">
        <f>"4574674200860138"</f>
        <v>4574674200860138</v>
      </c>
      <c r="F4534" t="str">
        <f>"473"</f>
        <v>473</v>
      </c>
      <c r="G4534">
        <v>1</v>
      </c>
      <c r="H4534">
        <v>2023</v>
      </c>
      <c r="I4534" t="s">
        <v>4649</v>
      </c>
    </row>
    <row r="4535" spans="1:9" x14ac:dyDescent="0.3">
      <c r="A4535" t="s">
        <v>10142</v>
      </c>
      <c r="B4535" t="s">
        <v>34</v>
      </c>
      <c r="C4535">
        <v>7648876604</v>
      </c>
      <c r="D4535" s="2">
        <v>1</v>
      </c>
      <c r="E4535" t="str">
        <f>"4574674200861110"</f>
        <v>4574674200861110</v>
      </c>
      <c r="F4535" t="str">
        <f>"527"</f>
        <v>527</v>
      </c>
      <c r="G4535">
        <v>1</v>
      </c>
      <c r="H4535">
        <v>2023</v>
      </c>
      <c r="I4535" t="s">
        <v>4650</v>
      </c>
    </row>
    <row r="4536" spans="1:9" x14ac:dyDescent="0.3">
      <c r="A4536" t="s">
        <v>10142</v>
      </c>
      <c r="B4536" t="s">
        <v>34</v>
      </c>
      <c r="C4536">
        <v>7648876604</v>
      </c>
      <c r="D4536" s="2">
        <v>1</v>
      </c>
      <c r="E4536" t="str">
        <f>"4574674200861417"</f>
        <v>4574674200861417</v>
      </c>
      <c r="F4536" t="str">
        <f>"322"</f>
        <v>322</v>
      </c>
      <c r="G4536">
        <v>1</v>
      </c>
      <c r="H4536">
        <v>2023</v>
      </c>
      <c r="I4536" t="s">
        <v>4651</v>
      </c>
    </row>
    <row r="4537" spans="1:9" x14ac:dyDescent="0.3">
      <c r="A4537" t="s">
        <v>10142</v>
      </c>
      <c r="B4537" t="s">
        <v>34</v>
      </c>
      <c r="C4537">
        <v>7648876604</v>
      </c>
      <c r="D4537" s="2">
        <v>1</v>
      </c>
      <c r="E4537" t="str">
        <f>"4574674200861490"</f>
        <v>4574674200861490</v>
      </c>
      <c r="F4537" t="str">
        <f>"517"</f>
        <v>517</v>
      </c>
      <c r="G4537">
        <v>1</v>
      </c>
      <c r="H4537">
        <v>2023</v>
      </c>
      <c r="I4537" t="s">
        <v>4652</v>
      </c>
    </row>
    <row r="4538" spans="1:9" x14ac:dyDescent="0.3">
      <c r="A4538" t="s">
        <v>10142</v>
      </c>
      <c r="B4538" t="s">
        <v>34</v>
      </c>
      <c r="C4538">
        <v>7648876604</v>
      </c>
      <c r="D4538" s="2">
        <v>1</v>
      </c>
      <c r="E4538" t="str">
        <f>"4574674200861540"</f>
        <v>4574674200861540</v>
      </c>
      <c r="F4538" t="str">
        <f>"433"</f>
        <v>433</v>
      </c>
      <c r="G4538">
        <v>1</v>
      </c>
      <c r="H4538">
        <v>2023</v>
      </c>
      <c r="I4538" t="s">
        <v>4653</v>
      </c>
    </row>
    <row r="4539" spans="1:9" x14ac:dyDescent="0.3">
      <c r="A4539" t="s">
        <v>10154</v>
      </c>
      <c r="B4539" t="s">
        <v>46</v>
      </c>
      <c r="C4539">
        <v>7648876604</v>
      </c>
      <c r="D4539" s="2">
        <v>1</v>
      </c>
      <c r="E4539" t="str">
        <f>"4574674200861557"</f>
        <v>4574674200861557</v>
      </c>
      <c r="F4539" t="str">
        <f>"921"</f>
        <v>921</v>
      </c>
      <c r="G4539">
        <v>1</v>
      </c>
      <c r="H4539">
        <v>2023</v>
      </c>
      <c r="I4539" t="s">
        <v>4654</v>
      </c>
    </row>
    <row r="4540" spans="1:9" x14ac:dyDescent="0.3">
      <c r="A4540" t="s">
        <v>10154</v>
      </c>
      <c r="B4540" t="s">
        <v>46</v>
      </c>
      <c r="C4540">
        <v>7648876604</v>
      </c>
      <c r="D4540" s="2">
        <v>1</v>
      </c>
      <c r="E4540" t="str">
        <f>"4574674200861748"</f>
        <v>4574674200861748</v>
      </c>
      <c r="F4540" t="str">
        <f>"844"</f>
        <v>844</v>
      </c>
      <c r="G4540">
        <v>1</v>
      </c>
      <c r="H4540">
        <v>2023</v>
      </c>
      <c r="I4540" t="s">
        <v>4655</v>
      </c>
    </row>
    <row r="4541" spans="1:9" x14ac:dyDescent="0.3">
      <c r="A4541" t="s">
        <v>10154</v>
      </c>
      <c r="B4541" t="s">
        <v>46</v>
      </c>
      <c r="C4541">
        <v>7648876604</v>
      </c>
      <c r="D4541" s="2">
        <v>1</v>
      </c>
      <c r="E4541" t="str">
        <f>"4574674200861813"</f>
        <v>4574674200861813</v>
      </c>
      <c r="F4541" t="str">
        <f>"184"</f>
        <v>184</v>
      </c>
      <c r="G4541">
        <v>1</v>
      </c>
      <c r="H4541">
        <v>2023</v>
      </c>
      <c r="I4541" t="s">
        <v>4656</v>
      </c>
    </row>
    <row r="4542" spans="1:9" x14ac:dyDescent="0.3">
      <c r="A4542" t="s">
        <v>10154</v>
      </c>
      <c r="B4542" t="s">
        <v>46</v>
      </c>
      <c r="C4542">
        <v>7648876604</v>
      </c>
      <c r="D4542" s="2">
        <v>1</v>
      </c>
      <c r="E4542" t="str">
        <f>"4574674200861862"</f>
        <v>4574674200861862</v>
      </c>
      <c r="F4542" t="str">
        <f>"266"</f>
        <v>266</v>
      </c>
      <c r="G4542">
        <v>1</v>
      </c>
      <c r="H4542">
        <v>2023</v>
      </c>
      <c r="I4542" t="s">
        <v>4657</v>
      </c>
    </row>
    <row r="4543" spans="1:9" x14ac:dyDescent="0.3">
      <c r="A4543" t="s">
        <v>10154</v>
      </c>
      <c r="B4543" t="s">
        <v>46</v>
      </c>
      <c r="C4543">
        <v>7648876604</v>
      </c>
      <c r="D4543" s="2">
        <v>1</v>
      </c>
      <c r="E4543" t="str">
        <f>"4574674200861763"</f>
        <v>4574674200861763</v>
      </c>
      <c r="F4543" t="str">
        <f>"081"</f>
        <v>081</v>
      </c>
      <c r="G4543">
        <v>1</v>
      </c>
      <c r="H4543">
        <v>2023</v>
      </c>
      <c r="I4543" t="s">
        <v>4658</v>
      </c>
    </row>
    <row r="4544" spans="1:9" x14ac:dyDescent="0.3">
      <c r="A4544" t="s">
        <v>10154</v>
      </c>
      <c r="B4544" t="s">
        <v>46</v>
      </c>
      <c r="C4544">
        <v>7648876604</v>
      </c>
      <c r="D4544" s="2">
        <v>1</v>
      </c>
      <c r="E4544" t="str">
        <f>"4574674200861870"</f>
        <v>4574674200861870</v>
      </c>
      <c r="F4544" t="str">
        <f>"984"</f>
        <v>984</v>
      </c>
      <c r="G4544">
        <v>1</v>
      </c>
      <c r="H4544">
        <v>2023</v>
      </c>
      <c r="I4544" t="s">
        <v>4659</v>
      </c>
    </row>
    <row r="4545" spans="1:9" x14ac:dyDescent="0.3">
      <c r="A4545" t="s">
        <v>10154</v>
      </c>
      <c r="B4545" t="s">
        <v>46</v>
      </c>
      <c r="C4545">
        <v>7648876604</v>
      </c>
      <c r="D4545" s="2">
        <v>1</v>
      </c>
      <c r="E4545" t="str">
        <f>"4574674200861896"</f>
        <v>4574674200861896</v>
      </c>
      <c r="F4545" t="str">
        <f>"591"</f>
        <v>591</v>
      </c>
      <c r="G4545">
        <v>1</v>
      </c>
      <c r="H4545">
        <v>2023</v>
      </c>
      <c r="I4545" t="s">
        <v>4660</v>
      </c>
    </row>
    <row r="4546" spans="1:9" x14ac:dyDescent="0.3">
      <c r="A4546" t="s">
        <v>10154</v>
      </c>
      <c r="B4546" t="s">
        <v>46</v>
      </c>
      <c r="C4546">
        <v>7648876604</v>
      </c>
      <c r="D4546" s="2">
        <v>1</v>
      </c>
      <c r="E4546" t="str">
        <f>"4574674200862084"</f>
        <v>4574674200862084</v>
      </c>
      <c r="F4546" t="str">
        <f>"555"</f>
        <v>555</v>
      </c>
      <c r="G4546">
        <v>1</v>
      </c>
      <c r="H4546">
        <v>2023</v>
      </c>
      <c r="I4546" t="s">
        <v>4661</v>
      </c>
    </row>
    <row r="4547" spans="1:9" x14ac:dyDescent="0.3">
      <c r="A4547" t="s">
        <v>10154</v>
      </c>
      <c r="B4547" t="s">
        <v>46</v>
      </c>
      <c r="C4547">
        <v>7648876604</v>
      </c>
      <c r="D4547" s="2">
        <v>1</v>
      </c>
      <c r="E4547" t="str">
        <f>"4574674200861961"</f>
        <v>4574674200861961</v>
      </c>
      <c r="F4547" t="str">
        <f>"551"</f>
        <v>551</v>
      </c>
      <c r="G4547">
        <v>1</v>
      </c>
      <c r="H4547">
        <v>2023</v>
      </c>
      <c r="I4547" t="s">
        <v>4662</v>
      </c>
    </row>
    <row r="4548" spans="1:9" x14ac:dyDescent="0.3">
      <c r="A4548" t="s">
        <v>10154</v>
      </c>
      <c r="B4548" t="s">
        <v>46</v>
      </c>
      <c r="C4548">
        <v>7648876604</v>
      </c>
      <c r="D4548" s="2">
        <v>1</v>
      </c>
      <c r="E4548" t="str">
        <f>"4574674200862993"</f>
        <v>4574674200862993</v>
      </c>
      <c r="F4548" t="str">
        <f>"734"</f>
        <v>734</v>
      </c>
      <c r="G4548">
        <v>1</v>
      </c>
      <c r="H4548">
        <v>2023</v>
      </c>
      <c r="I4548" t="s">
        <v>4663</v>
      </c>
    </row>
    <row r="4549" spans="1:9" x14ac:dyDescent="0.3">
      <c r="A4549" t="s">
        <v>10155</v>
      </c>
      <c r="B4549" t="s">
        <v>47</v>
      </c>
      <c r="C4549">
        <v>7648876604</v>
      </c>
      <c r="D4549" s="2">
        <v>1</v>
      </c>
      <c r="E4549" t="str">
        <f>"4574674200862779"</f>
        <v>4574674200862779</v>
      </c>
      <c r="F4549" t="str">
        <f>"810"</f>
        <v>810</v>
      </c>
      <c r="G4549">
        <v>1</v>
      </c>
      <c r="H4549">
        <v>2023</v>
      </c>
      <c r="I4549" t="s">
        <v>4664</v>
      </c>
    </row>
    <row r="4550" spans="1:9" x14ac:dyDescent="0.3">
      <c r="A4550" t="s">
        <v>10155</v>
      </c>
      <c r="B4550" t="s">
        <v>47</v>
      </c>
      <c r="C4550">
        <v>7648876604</v>
      </c>
      <c r="D4550" s="2">
        <v>1</v>
      </c>
      <c r="E4550" t="str">
        <f>"4574674200862787"</f>
        <v>4574674200862787</v>
      </c>
      <c r="F4550" t="str">
        <f>"561"</f>
        <v>561</v>
      </c>
      <c r="G4550">
        <v>1</v>
      </c>
      <c r="H4550">
        <v>2023</v>
      </c>
      <c r="I4550" t="s">
        <v>4665</v>
      </c>
    </row>
    <row r="4551" spans="1:9" x14ac:dyDescent="0.3">
      <c r="A4551" t="s">
        <v>10155</v>
      </c>
      <c r="B4551" t="s">
        <v>47</v>
      </c>
      <c r="C4551">
        <v>7648876604</v>
      </c>
      <c r="D4551" s="2">
        <v>1</v>
      </c>
      <c r="E4551" t="str">
        <f>"4574674200862795"</f>
        <v>4574674200862795</v>
      </c>
      <c r="F4551" t="str">
        <f>"278"</f>
        <v>278</v>
      </c>
      <c r="G4551">
        <v>1</v>
      </c>
      <c r="H4551">
        <v>2023</v>
      </c>
      <c r="I4551" t="s">
        <v>4666</v>
      </c>
    </row>
    <row r="4552" spans="1:9" x14ac:dyDescent="0.3">
      <c r="A4552" t="s">
        <v>10155</v>
      </c>
      <c r="B4552" t="s">
        <v>47</v>
      </c>
      <c r="C4552">
        <v>7648876604</v>
      </c>
      <c r="D4552" s="2">
        <v>1</v>
      </c>
      <c r="E4552" t="str">
        <f>"4574674200863215"</f>
        <v>4574674200863215</v>
      </c>
      <c r="F4552" t="str">
        <f>"317"</f>
        <v>317</v>
      </c>
      <c r="G4552">
        <v>1</v>
      </c>
      <c r="H4552">
        <v>2023</v>
      </c>
      <c r="I4552" t="s">
        <v>4667</v>
      </c>
    </row>
    <row r="4553" spans="1:9" x14ac:dyDescent="0.3">
      <c r="A4553" t="s">
        <v>10155</v>
      </c>
      <c r="B4553" t="s">
        <v>47</v>
      </c>
      <c r="C4553">
        <v>7648876604</v>
      </c>
      <c r="D4553" s="2">
        <v>1</v>
      </c>
      <c r="E4553" t="str">
        <f>"4574674200863066"</f>
        <v>4574674200863066</v>
      </c>
      <c r="F4553" t="str">
        <f>"941"</f>
        <v>941</v>
      </c>
      <c r="G4553">
        <v>1</v>
      </c>
      <c r="H4553">
        <v>2023</v>
      </c>
      <c r="I4553" t="s">
        <v>4668</v>
      </c>
    </row>
    <row r="4554" spans="1:9" x14ac:dyDescent="0.3">
      <c r="A4554" t="s">
        <v>10155</v>
      </c>
      <c r="B4554" t="s">
        <v>47</v>
      </c>
      <c r="C4554">
        <v>7648876604</v>
      </c>
      <c r="D4554" s="2">
        <v>1</v>
      </c>
      <c r="E4554" t="str">
        <f>"4574674200863124"</f>
        <v>4574674200863124</v>
      </c>
      <c r="F4554" t="str">
        <f>"209"</f>
        <v>209</v>
      </c>
      <c r="G4554">
        <v>1</v>
      </c>
      <c r="H4554">
        <v>2023</v>
      </c>
      <c r="I4554" t="s">
        <v>4669</v>
      </c>
    </row>
    <row r="4555" spans="1:9" x14ac:dyDescent="0.3">
      <c r="A4555" t="s">
        <v>10155</v>
      </c>
      <c r="B4555" t="s">
        <v>47</v>
      </c>
      <c r="C4555">
        <v>7648876604</v>
      </c>
      <c r="D4555" s="2">
        <v>1</v>
      </c>
      <c r="E4555" t="str">
        <f>"4574674200863249"</f>
        <v>4574674200863249</v>
      </c>
      <c r="F4555" t="str">
        <f>"589"</f>
        <v>589</v>
      </c>
      <c r="G4555">
        <v>1</v>
      </c>
      <c r="H4555">
        <v>2023</v>
      </c>
      <c r="I4555" t="s">
        <v>4670</v>
      </c>
    </row>
    <row r="4556" spans="1:9" x14ac:dyDescent="0.3">
      <c r="A4556" t="s">
        <v>10155</v>
      </c>
      <c r="B4556" t="s">
        <v>47</v>
      </c>
      <c r="C4556">
        <v>7648876604</v>
      </c>
      <c r="D4556" s="2">
        <v>1</v>
      </c>
      <c r="E4556" t="str">
        <f>"4574674200863322"</f>
        <v>4574674200863322</v>
      </c>
      <c r="F4556" t="str">
        <f>"010"</f>
        <v>010</v>
      </c>
      <c r="G4556">
        <v>1</v>
      </c>
      <c r="H4556">
        <v>2023</v>
      </c>
      <c r="I4556" t="s">
        <v>4671</v>
      </c>
    </row>
    <row r="4557" spans="1:9" x14ac:dyDescent="0.3">
      <c r="A4557" t="s">
        <v>10155</v>
      </c>
      <c r="B4557" t="s">
        <v>47</v>
      </c>
      <c r="C4557">
        <v>7648876604</v>
      </c>
      <c r="D4557" s="2">
        <v>1</v>
      </c>
      <c r="E4557" t="str">
        <f>"4574674200863298"</f>
        <v>4574674200863298</v>
      </c>
      <c r="F4557" t="str">
        <f>"700"</f>
        <v>700</v>
      </c>
      <c r="G4557">
        <v>1</v>
      </c>
      <c r="H4557">
        <v>2023</v>
      </c>
      <c r="I4557" t="s">
        <v>4672</v>
      </c>
    </row>
    <row r="4558" spans="1:9" x14ac:dyDescent="0.3">
      <c r="A4558" t="s">
        <v>10155</v>
      </c>
      <c r="B4558" t="s">
        <v>47</v>
      </c>
      <c r="C4558">
        <v>7648876604</v>
      </c>
      <c r="D4558" s="2">
        <v>1</v>
      </c>
      <c r="E4558" t="str">
        <f>"4574674200863330"</f>
        <v>4574674200863330</v>
      </c>
      <c r="F4558" t="str">
        <f>"055"</f>
        <v>055</v>
      </c>
      <c r="G4558">
        <v>1</v>
      </c>
      <c r="H4558">
        <v>2023</v>
      </c>
      <c r="I4558" t="s">
        <v>4673</v>
      </c>
    </row>
    <row r="4559" spans="1:9" x14ac:dyDescent="0.3">
      <c r="A4559" t="s">
        <v>10156</v>
      </c>
      <c r="B4559" t="s">
        <v>48</v>
      </c>
      <c r="C4559">
        <v>7648876604</v>
      </c>
      <c r="D4559" s="2">
        <v>1</v>
      </c>
      <c r="E4559" t="str">
        <f>"4574674200863173"</f>
        <v>4574674200863173</v>
      </c>
      <c r="F4559" t="str">
        <f>"029"</f>
        <v>029</v>
      </c>
      <c r="G4559">
        <v>1</v>
      </c>
      <c r="H4559">
        <v>2023</v>
      </c>
      <c r="I4559" t="s">
        <v>4674</v>
      </c>
    </row>
    <row r="4560" spans="1:9" x14ac:dyDescent="0.3">
      <c r="A4560" t="s">
        <v>10156</v>
      </c>
      <c r="B4560" t="s">
        <v>48</v>
      </c>
      <c r="C4560">
        <v>7648876604</v>
      </c>
      <c r="D4560" s="2">
        <v>1</v>
      </c>
      <c r="E4560" t="str">
        <f>"4574674200863199"</f>
        <v>4574674200863199</v>
      </c>
      <c r="F4560" t="str">
        <f>"863"</f>
        <v>863</v>
      </c>
      <c r="G4560">
        <v>1</v>
      </c>
      <c r="H4560">
        <v>2023</v>
      </c>
      <c r="I4560" t="s">
        <v>4675</v>
      </c>
    </row>
    <row r="4561" spans="1:9" x14ac:dyDescent="0.3">
      <c r="A4561" t="s">
        <v>10156</v>
      </c>
      <c r="B4561" t="s">
        <v>48</v>
      </c>
      <c r="C4561">
        <v>7648876604</v>
      </c>
      <c r="D4561" s="2">
        <v>1</v>
      </c>
      <c r="E4561" t="str">
        <f>"4574674200863439"</f>
        <v>4574674200863439</v>
      </c>
      <c r="F4561" t="str">
        <f>"266"</f>
        <v>266</v>
      </c>
      <c r="G4561">
        <v>1</v>
      </c>
      <c r="H4561">
        <v>2023</v>
      </c>
      <c r="I4561" t="s">
        <v>4676</v>
      </c>
    </row>
    <row r="4562" spans="1:9" x14ac:dyDescent="0.3">
      <c r="A4562" t="s">
        <v>10156</v>
      </c>
      <c r="B4562" t="s">
        <v>48</v>
      </c>
      <c r="C4562">
        <v>7648876604</v>
      </c>
      <c r="D4562" s="2">
        <v>1</v>
      </c>
      <c r="E4562" t="str">
        <f>"4574674200863363"</f>
        <v>4574674200863363</v>
      </c>
      <c r="F4562" t="str">
        <f>"807"</f>
        <v>807</v>
      </c>
      <c r="G4562">
        <v>1</v>
      </c>
      <c r="H4562">
        <v>2023</v>
      </c>
      <c r="I4562" t="s">
        <v>4677</v>
      </c>
    </row>
    <row r="4563" spans="1:9" x14ac:dyDescent="0.3">
      <c r="A4563" t="s">
        <v>10156</v>
      </c>
      <c r="B4563" t="s">
        <v>48</v>
      </c>
      <c r="C4563">
        <v>7648876604</v>
      </c>
      <c r="D4563" s="2">
        <v>1</v>
      </c>
      <c r="E4563" t="str">
        <f>"4574674200863371"</f>
        <v>4574674200863371</v>
      </c>
      <c r="F4563" t="str">
        <f>"707"</f>
        <v>707</v>
      </c>
      <c r="G4563">
        <v>1</v>
      </c>
      <c r="H4563">
        <v>2023</v>
      </c>
      <c r="I4563" t="s">
        <v>4678</v>
      </c>
    </row>
    <row r="4564" spans="1:9" x14ac:dyDescent="0.3">
      <c r="A4564" t="s">
        <v>10156</v>
      </c>
      <c r="B4564" t="s">
        <v>48</v>
      </c>
      <c r="C4564">
        <v>7648876604</v>
      </c>
      <c r="D4564" s="2">
        <v>1</v>
      </c>
      <c r="E4564" t="str">
        <f>"4574674200863561"</f>
        <v>4574674200863561</v>
      </c>
      <c r="F4564" t="str">
        <f>"086"</f>
        <v>086</v>
      </c>
      <c r="G4564">
        <v>1</v>
      </c>
      <c r="H4564">
        <v>2023</v>
      </c>
      <c r="I4564" t="s">
        <v>4679</v>
      </c>
    </row>
    <row r="4565" spans="1:9" x14ac:dyDescent="0.3">
      <c r="A4565" t="s">
        <v>10156</v>
      </c>
      <c r="B4565" t="s">
        <v>48</v>
      </c>
      <c r="C4565">
        <v>7648876604</v>
      </c>
      <c r="D4565" s="2">
        <v>1</v>
      </c>
      <c r="E4565" t="str">
        <f>"4574674200863801"</f>
        <v>4574674200863801</v>
      </c>
      <c r="F4565" t="str">
        <f>"946"</f>
        <v>946</v>
      </c>
      <c r="G4565">
        <v>1</v>
      </c>
      <c r="H4565">
        <v>2023</v>
      </c>
      <c r="I4565" t="s">
        <v>4680</v>
      </c>
    </row>
    <row r="4566" spans="1:9" x14ac:dyDescent="0.3">
      <c r="A4566" t="s">
        <v>10156</v>
      </c>
      <c r="B4566" t="s">
        <v>48</v>
      </c>
      <c r="C4566">
        <v>7648876604</v>
      </c>
      <c r="D4566" s="2">
        <v>1</v>
      </c>
      <c r="E4566" t="str">
        <f>"4574674200863819"</f>
        <v>4574674200863819</v>
      </c>
      <c r="F4566" t="str">
        <f>"091"</f>
        <v>091</v>
      </c>
      <c r="G4566">
        <v>1</v>
      </c>
      <c r="H4566">
        <v>2023</v>
      </c>
      <c r="I4566" t="s">
        <v>4681</v>
      </c>
    </row>
    <row r="4567" spans="1:9" x14ac:dyDescent="0.3">
      <c r="A4567" t="s">
        <v>10156</v>
      </c>
      <c r="B4567" t="s">
        <v>48</v>
      </c>
      <c r="C4567">
        <v>7648876604</v>
      </c>
      <c r="D4567" s="2">
        <v>1</v>
      </c>
      <c r="E4567" t="str">
        <f>"4574674200863835"</f>
        <v>4574674200863835</v>
      </c>
      <c r="F4567" t="str">
        <f>"017"</f>
        <v>017</v>
      </c>
      <c r="G4567">
        <v>1</v>
      </c>
      <c r="H4567">
        <v>2023</v>
      </c>
      <c r="I4567" t="s">
        <v>4682</v>
      </c>
    </row>
    <row r="4568" spans="1:9" x14ac:dyDescent="0.3">
      <c r="A4568" t="s">
        <v>10156</v>
      </c>
      <c r="B4568" t="s">
        <v>48</v>
      </c>
      <c r="C4568">
        <v>7648876604</v>
      </c>
      <c r="D4568" s="2">
        <v>1</v>
      </c>
      <c r="E4568" t="str">
        <f>"4574674200863652"</f>
        <v>4574674200863652</v>
      </c>
      <c r="F4568" t="str">
        <f>"083"</f>
        <v>083</v>
      </c>
      <c r="G4568">
        <v>1</v>
      </c>
      <c r="H4568">
        <v>2023</v>
      </c>
      <c r="I4568" t="s">
        <v>4683</v>
      </c>
    </row>
    <row r="4569" spans="1:9" x14ac:dyDescent="0.3">
      <c r="A4569" t="s">
        <v>10139</v>
      </c>
      <c r="B4569" t="s">
        <v>31</v>
      </c>
      <c r="C4569">
        <v>7648876604</v>
      </c>
      <c r="D4569" s="2">
        <v>1</v>
      </c>
      <c r="E4569" t="str">
        <f>"4574674200863678"</f>
        <v>4574674200863678</v>
      </c>
      <c r="F4569" t="str">
        <f>"710"</f>
        <v>710</v>
      </c>
      <c r="G4569">
        <v>1</v>
      </c>
      <c r="H4569">
        <v>2023</v>
      </c>
      <c r="I4569" t="s">
        <v>4684</v>
      </c>
    </row>
    <row r="4570" spans="1:9" x14ac:dyDescent="0.3">
      <c r="A4570" t="s">
        <v>10139</v>
      </c>
      <c r="B4570" t="s">
        <v>31</v>
      </c>
      <c r="C4570">
        <v>7648876604</v>
      </c>
      <c r="D4570" s="2">
        <v>1</v>
      </c>
      <c r="E4570" t="str">
        <f>"4574674200863884"</f>
        <v>4574674200863884</v>
      </c>
      <c r="F4570" t="str">
        <f>"858"</f>
        <v>858</v>
      </c>
      <c r="G4570">
        <v>1</v>
      </c>
      <c r="H4570">
        <v>2023</v>
      </c>
      <c r="I4570" t="s">
        <v>4685</v>
      </c>
    </row>
    <row r="4571" spans="1:9" x14ac:dyDescent="0.3">
      <c r="A4571" t="s">
        <v>10139</v>
      </c>
      <c r="B4571" t="s">
        <v>31</v>
      </c>
      <c r="C4571">
        <v>7648876604</v>
      </c>
      <c r="D4571" s="2">
        <v>1</v>
      </c>
      <c r="E4571" t="str">
        <f>"4574674200863892"</f>
        <v>4574674200863892</v>
      </c>
      <c r="F4571" t="str">
        <f>"722"</f>
        <v>722</v>
      </c>
      <c r="G4571">
        <v>1</v>
      </c>
      <c r="H4571">
        <v>2023</v>
      </c>
      <c r="I4571" t="s">
        <v>4686</v>
      </c>
    </row>
    <row r="4572" spans="1:9" x14ac:dyDescent="0.3">
      <c r="A4572" t="s">
        <v>10139</v>
      </c>
      <c r="B4572" t="s">
        <v>31</v>
      </c>
      <c r="C4572">
        <v>7648876604</v>
      </c>
      <c r="D4572" s="2">
        <v>1</v>
      </c>
      <c r="E4572" t="str">
        <f>"4574674200863926"</f>
        <v>4574674200863926</v>
      </c>
      <c r="F4572" t="str">
        <f>"832"</f>
        <v>832</v>
      </c>
      <c r="G4572">
        <v>1</v>
      </c>
      <c r="H4572">
        <v>2023</v>
      </c>
      <c r="I4572" t="s">
        <v>4687</v>
      </c>
    </row>
    <row r="4573" spans="1:9" x14ac:dyDescent="0.3">
      <c r="A4573" t="s">
        <v>10139</v>
      </c>
      <c r="B4573" t="s">
        <v>31</v>
      </c>
      <c r="C4573">
        <v>7648876604</v>
      </c>
      <c r="D4573" s="2">
        <v>1</v>
      </c>
      <c r="E4573" t="str">
        <f>"4574674200863934"</f>
        <v>4574674200863934</v>
      </c>
      <c r="F4573" t="str">
        <f>"972"</f>
        <v>972</v>
      </c>
      <c r="G4573">
        <v>1</v>
      </c>
      <c r="H4573">
        <v>2023</v>
      </c>
      <c r="I4573" t="s">
        <v>4688</v>
      </c>
    </row>
    <row r="4574" spans="1:9" x14ac:dyDescent="0.3">
      <c r="A4574" t="s">
        <v>10139</v>
      </c>
      <c r="B4574" t="s">
        <v>31</v>
      </c>
      <c r="C4574">
        <v>7648876604</v>
      </c>
      <c r="D4574" s="2">
        <v>1</v>
      </c>
      <c r="E4574" t="str">
        <f>"4574674200864031"</f>
        <v>4574674200864031</v>
      </c>
      <c r="F4574" t="str">
        <f>"949"</f>
        <v>949</v>
      </c>
      <c r="G4574">
        <v>1</v>
      </c>
      <c r="H4574">
        <v>2023</v>
      </c>
      <c r="I4574" t="s">
        <v>4689</v>
      </c>
    </row>
    <row r="4575" spans="1:9" x14ac:dyDescent="0.3">
      <c r="A4575" t="s">
        <v>10139</v>
      </c>
      <c r="B4575" t="s">
        <v>31</v>
      </c>
      <c r="C4575">
        <v>7648876604</v>
      </c>
      <c r="D4575" s="2">
        <v>1</v>
      </c>
      <c r="E4575" t="str">
        <f>"4574674200864023"</f>
        <v>4574674200864023</v>
      </c>
      <c r="F4575" t="str">
        <f>"207"</f>
        <v>207</v>
      </c>
      <c r="G4575">
        <v>1</v>
      </c>
      <c r="H4575">
        <v>2023</v>
      </c>
      <c r="I4575" t="s">
        <v>4690</v>
      </c>
    </row>
    <row r="4576" spans="1:9" x14ac:dyDescent="0.3">
      <c r="A4576" t="s">
        <v>10139</v>
      </c>
      <c r="B4576" t="s">
        <v>31</v>
      </c>
      <c r="C4576">
        <v>7648876604</v>
      </c>
      <c r="D4576" s="2">
        <v>1</v>
      </c>
      <c r="E4576" t="str">
        <f>"4574674200863967"</f>
        <v>4574674200863967</v>
      </c>
      <c r="F4576" t="str">
        <f>"284"</f>
        <v>284</v>
      </c>
      <c r="G4576">
        <v>1</v>
      </c>
      <c r="H4576">
        <v>2023</v>
      </c>
      <c r="I4576" t="s">
        <v>4691</v>
      </c>
    </row>
    <row r="4577" spans="1:9" x14ac:dyDescent="0.3">
      <c r="A4577" t="s">
        <v>10139</v>
      </c>
      <c r="B4577" t="s">
        <v>31</v>
      </c>
      <c r="C4577">
        <v>7648876604</v>
      </c>
      <c r="D4577" s="2">
        <v>1</v>
      </c>
      <c r="E4577" t="str">
        <f>"4574674200864205"</f>
        <v>4574674200864205</v>
      </c>
      <c r="F4577" t="str">
        <f>"820"</f>
        <v>820</v>
      </c>
      <c r="G4577">
        <v>1</v>
      </c>
      <c r="H4577">
        <v>2023</v>
      </c>
      <c r="I4577" t="s">
        <v>4692</v>
      </c>
    </row>
    <row r="4578" spans="1:9" x14ac:dyDescent="0.3">
      <c r="A4578" t="s">
        <v>10139</v>
      </c>
      <c r="B4578" t="s">
        <v>31</v>
      </c>
      <c r="C4578">
        <v>7648876604</v>
      </c>
      <c r="D4578" s="2">
        <v>1</v>
      </c>
      <c r="E4578" t="str">
        <f>"4574674200864239"</f>
        <v>4574674200864239</v>
      </c>
      <c r="F4578" t="str">
        <f>"389"</f>
        <v>389</v>
      </c>
      <c r="G4578">
        <v>1</v>
      </c>
      <c r="H4578">
        <v>2023</v>
      </c>
      <c r="I4578" t="s">
        <v>4693</v>
      </c>
    </row>
    <row r="4579" spans="1:9" x14ac:dyDescent="0.3">
      <c r="A4579" t="s">
        <v>10138</v>
      </c>
      <c r="B4579" t="s">
        <v>30</v>
      </c>
      <c r="C4579">
        <v>7648876604</v>
      </c>
      <c r="D4579" s="2">
        <v>1</v>
      </c>
      <c r="E4579" t="str">
        <f>"4574674200864189"</f>
        <v>4574674200864189</v>
      </c>
      <c r="F4579" t="str">
        <f>"022"</f>
        <v>022</v>
      </c>
      <c r="G4579">
        <v>1</v>
      </c>
      <c r="H4579">
        <v>2023</v>
      </c>
      <c r="I4579" t="s">
        <v>4694</v>
      </c>
    </row>
    <row r="4580" spans="1:9" x14ac:dyDescent="0.3">
      <c r="A4580" t="s">
        <v>10138</v>
      </c>
      <c r="B4580" t="s">
        <v>30</v>
      </c>
      <c r="C4580">
        <v>7648876604</v>
      </c>
      <c r="D4580" s="2">
        <v>1</v>
      </c>
      <c r="E4580" t="str">
        <f>"4574674200864197"</f>
        <v>4574674200864197</v>
      </c>
      <c r="F4580" t="str">
        <f>"865"</f>
        <v>865</v>
      </c>
      <c r="G4580">
        <v>1</v>
      </c>
      <c r="H4580">
        <v>2023</v>
      </c>
      <c r="I4580" t="s">
        <v>4695</v>
      </c>
    </row>
    <row r="4581" spans="1:9" x14ac:dyDescent="0.3">
      <c r="A4581" t="s">
        <v>10138</v>
      </c>
      <c r="B4581" t="s">
        <v>30</v>
      </c>
      <c r="C4581">
        <v>7648876604</v>
      </c>
      <c r="D4581" s="2">
        <v>1</v>
      </c>
      <c r="E4581" t="str">
        <f>"4574674200864247"</f>
        <v>4574674200864247</v>
      </c>
      <c r="F4581" t="str">
        <f>"408"</f>
        <v>408</v>
      </c>
      <c r="G4581">
        <v>1</v>
      </c>
      <c r="H4581">
        <v>2023</v>
      </c>
      <c r="I4581" t="s">
        <v>4696</v>
      </c>
    </row>
    <row r="4582" spans="1:9" x14ac:dyDescent="0.3">
      <c r="A4582" t="s">
        <v>10138</v>
      </c>
      <c r="B4582" t="s">
        <v>30</v>
      </c>
      <c r="C4582">
        <v>7648876604</v>
      </c>
      <c r="D4582" s="2">
        <v>1</v>
      </c>
      <c r="E4582" t="str">
        <f>"4574674200864262"</f>
        <v>4574674200864262</v>
      </c>
      <c r="F4582" t="str">
        <f>"047"</f>
        <v>047</v>
      </c>
      <c r="G4582">
        <v>1</v>
      </c>
      <c r="H4582">
        <v>2023</v>
      </c>
      <c r="I4582" t="s">
        <v>4697</v>
      </c>
    </row>
    <row r="4583" spans="1:9" x14ac:dyDescent="0.3">
      <c r="A4583" t="s">
        <v>10138</v>
      </c>
      <c r="B4583" t="s">
        <v>30</v>
      </c>
      <c r="C4583">
        <v>7648876604</v>
      </c>
      <c r="D4583" s="2">
        <v>1</v>
      </c>
      <c r="E4583" t="str">
        <f>"4574674200864270"</f>
        <v>4574674200864270</v>
      </c>
      <c r="F4583" t="str">
        <f>"228"</f>
        <v>228</v>
      </c>
      <c r="G4583">
        <v>1</v>
      </c>
      <c r="H4583">
        <v>2023</v>
      </c>
      <c r="I4583" t="s">
        <v>4698</v>
      </c>
    </row>
    <row r="4584" spans="1:9" x14ac:dyDescent="0.3">
      <c r="A4584" t="s">
        <v>10138</v>
      </c>
      <c r="B4584" t="s">
        <v>30</v>
      </c>
      <c r="C4584">
        <v>7648876604</v>
      </c>
      <c r="D4584" s="2">
        <v>1</v>
      </c>
      <c r="E4584" t="str">
        <f>"4574674200864544"</f>
        <v>4574674200864544</v>
      </c>
      <c r="F4584" t="str">
        <f>"817"</f>
        <v>817</v>
      </c>
      <c r="G4584">
        <v>1</v>
      </c>
      <c r="H4584">
        <v>2023</v>
      </c>
      <c r="I4584" t="s">
        <v>4699</v>
      </c>
    </row>
    <row r="4585" spans="1:9" x14ac:dyDescent="0.3">
      <c r="A4585" t="s">
        <v>10138</v>
      </c>
      <c r="B4585" t="s">
        <v>30</v>
      </c>
      <c r="C4585">
        <v>7648876604</v>
      </c>
      <c r="D4585" s="2">
        <v>1</v>
      </c>
      <c r="E4585" t="str">
        <f>"4574674200864551"</f>
        <v>4574674200864551</v>
      </c>
      <c r="F4585" t="str">
        <f>"406"</f>
        <v>406</v>
      </c>
      <c r="G4585">
        <v>1</v>
      </c>
      <c r="H4585">
        <v>2023</v>
      </c>
      <c r="I4585" t="s">
        <v>4700</v>
      </c>
    </row>
    <row r="4586" spans="1:9" x14ac:dyDescent="0.3">
      <c r="A4586" t="s">
        <v>10138</v>
      </c>
      <c r="B4586" t="s">
        <v>30</v>
      </c>
      <c r="C4586">
        <v>7648876604</v>
      </c>
      <c r="D4586" s="2">
        <v>1</v>
      </c>
      <c r="E4586" t="str">
        <f>"4574674200864320"</f>
        <v>4574674200864320</v>
      </c>
      <c r="F4586" t="str">
        <f>"818"</f>
        <v>818</v>
      </c>
      <c r="G4586">
        <v>1</v>
      </c>
      <c r="H4586">
        <v>2023</v>
      </c>
      <c r="I4586" t="s">
        <v>4701</v>
      </c>
    </row>
    <row r="4587" spans="1:9" x14ac:dyDescent="0.3">
      <c r="A4587" t="s">
        <v>10138</v>
      </c>
      <c r="B4587" t="s">
        <v>30</v>
      </c>
      <c r="C4587">
        <v>7648876604</v>
      </c>
      <c r="D4587" s="2">
        <v>1</v>
      </c>
      <c r="E4587" t="str">
        <f>"4574674200864353"</f>
        <v>4574674200864353</v>
      </c>
      <c r="F4587" t="str">
        <f>"988"</f>
        <v>988</v>
      </c>
      <c r="G4587">
        <v>1</v>
      </c>
      <c r="H4587">
        <v>2023</v>
      </c>
      <c r="I4587" t="s">
        <v>4702</v>
      </c>
    </row>
    <row r="4588" spans="1:9" x14ac:dyDescent="0.3">
      <c r="A4588" t="s">
        <v>10138</v>
      </c>
      <c r="B4588" t="s">
        <v>30</v>
      </c>
      <c r="C4588">
        <v>7648876604</v>
      </c>
      <c r="D4588" s="2">
        <v>1</v>
      </c>
      <c r="E4588" t="str">
        <f>"4574674200864361"</f>
        <v>4574674200864361</v>
      </c>
      <c r="F4588" t="str">
        <f>"365"</f>
        <v>365</v>
      </c>
      <c r="G4588">
        <v>1</v>
      </c>
      <c r="H4588">
        <v>2023</v>
      </c>
      <c r="I4588" t="s">
        <v>4703</v>
      </c>
    </row>
    <row r="4589" spans="1:9" x14ac:dyDescent="0.3">
      <c r="A4589" t="s">
        <v>10157</v>
      </c>
      <c r="B4589" t="s">
        <v>49</v>
      </c>
      <c r="C4589">
        <v>7648876604</v>
      </c>
      <c r="D4589" s="2">
        <v>1</v>
      </c>
      <c r="E4589" t="str">
        <f>"4574674200864700"</f>
        <v>4574674200864700</v>
      </c>
      <c r="F4589" t="str">
        <f>"560"</f>
        <v>560</v>
      </c>
      <c r="G4589">
        <v>1</v>
      </c>
      <c r="H4589">
        <v>2023</v>
      </c>
      <c r="I4589" t="s">
        <v>4704</v>
      </c>
    </row>
    <row r="4590" spans="1:9" x14ac:dyDescent="0.3">
      <c r="A4590" t="s">
        <v>10157</v>
      </c>
      <c r="B4590" t="s">
        <v>49</v>
      </c>
      <c r="C4590">
        <v>7648876604</v>
      </c>
      <c r="D4590" s="2">
        <v>1</v>
      </c>
      <c r="E4590" t="str">
        <f>"4574674200864395"</f>
        <v>4574674200864395</v>
      </c>
      <c r="F4590" t="str">
        <f>"608"</f>
        <v>608</v>
      </c>
      <c r="G4590">
        <v>1</v>
      </c>
      <c r="H4590">
        <v>2023</v>
      </c>
      <c r="I4590" t="s">
        <v>4705</v>
      </c>
    </row>
    <row r="4591" spans="1:9" x14ac:dyDescent="0.3">
      <c r="A4591" t="s">
        <v>10157</v>
      </c>
      <c r="B4591" t="s">
        <v>49</v>
      </c>
      <c r="C4591">
        <v>7648876604</v>
      </c>
      <c r="D4591" s="2">
        <v>1</v>
      </c>
      <c r="E4591" t="str">
        <f>"4574674200864817"</f>
        <v>4574674200864817</v>
      </c>
      <c r="F4591" t="str">
        <f>"088"</f>
        <v>088</v>
      </c>
      <c r="G4591">
        <v>1</v>
      </c>
      <c r="H4591">
        <v>2023</v>
      </c>
      <c r="I4591" t="s">
        <v>4706</v>
      </c>
    </row>
    <row r="4592" spans="1:9" x14ac:dyDescent="0.3">
      <c r="A4592" t="s">
        <v>10157</v>
      </c>
      <c r="B4592" t="s">
        <v>49</v>
      </c>
      <c r="C4592">
        <v>7648876604</v>
      </c>
      <c r="D4592" s="2">
        <v>1</v>
      </c>
      <c r="E4592" t="str">
        <f>"4574674200864825"</f>
        <v>4574674200864825</v>
      </c>
      <c r="F4592" t="str">
        <f>"237"</f>
        <v>237</v>
      </c>
      <c r="G4592">
        <v>1</v>
      </c>
      <c r="H4592">
        <v>2023</v>
      </c>
      <c r="I4592" t="s">
        <v>4707</v>
      </c>
    </row>
    <row r="4593" spans="1:9" x14ac:dyDescent="0.3">
      <c r="A4593" t="s">
        <v>10157</v>
      </c>
      <c r="B4593" t="s">
        <v>49</v>
      </c>
      <c r="C4593">
        <v>7648876604</v>
      </c>
      <c r="D4593" s="2">
        <v>1</v>
      </c>
      <c r="E4593" t="str">
        <f>"4574674200864759"</f>
        <v>4574674200864759</v>
      </c>
      <c r="F4593" t="str">
        <f>"913"</f>
        <v>913</v>
      </c>
      <c r="G4593">
        <v>1</v>
      </c>
      <c r="H4593">
        <v>2023</v>
      </c>
      <c r="I4593" t="s">
        <v>4708</v>
      </c>
    </row>
    <row r="4594" spans="1:9" x14ac:dyDescent="0.3">
      <c r="A4594" t="s">
        <v>10157</v>
      </c>
      <c r="B4594" t="s">
        <v>49</v>
      </c>
      <c r="C4594">
        <v>7648876604</v>
      </c>
      <c r="D4594" s="2">
        <v>1</v>
      </c>
      <c r="E4594" t="str">
        <f>"4574674200864858"</f>
        <v>4574674200864858</v>
      </c>
      <c r="F4594" t="str">
        <f>"593"</f>
        <v>593</v>
      </c>
      <c r="G4594">
        <v>1</v>
      </c>
      <c r="H4594">
        <v>2023</v>
      </c>
      <c r="I4594" t="s">
        <v>4709</v>
      </c>
    </row>
    <row r="4595" spans="1:9" x14ac:dyDescent="0.3">
      <c r="A4595" t="s">
        <v>10157</v>
      </c>
      <c r="B4595" t="s">
        <v>49</v>
      </c>
      <c r="C4595">
        <v>7648876604</v>
      </c>
      <c r="D4595" s="2">
        <v>1</v>
      </c>
      <c r="E4595" t="str">
        <f>"4574674200864874"</f>
        <v>4574674200864874</v>
      </c>
      <c r="F4595" t="str">
        <f>"740"</f>
        <v>740</v>
      </c>
      <c r="G4595">
        <v>1</v>
      </c>
      <c r="H4595">
        <v>2023</v>
      </c>
      <c r="I4595" t="s">
        <v>4710</v>
      </c>
    </row>
    <row r="4596" spans="1:9" x14ac:dyDescent="0.3">
      <c r="A4596" t="s">
        <v>10157</v>
      </c>
      <c r="B4596" t="s">
        <v>49</v>
      </c>
      <c r="C4596">
        <v>7648876604</v>
      </c>
      <c r="D4596" s="2">
        <v>1</v>
      </c>
      <c r="E4596" t="str">
        <f>"4574674200865046"</f>
        <v>4574674200865046</v>
      </c>
      <c r="F4596" t="str">
        <f>"844"</f>
        <v>844</v>
      </c>
      <c r="G4596">
        <v>1</v>
      </c>
      <c r="H4596">
        <v>2023</v>
      </c>
      <c r="I4596" t="s">
        <v>4711</v>
      </c>
    </row>
    <row r="4597" spans="1:9" x14ac:dyDescent="0.3">
      <c r="A4597" t="s">
        <v>10157</v>
      </c>
      <c r="B4597" t="s">
        <v>49</v>
      </c>
      <c r="C4597">
        <v>7648876604</v>
      </c>
      <c r="D4597" s="2">
        <v>1</v>
      </c>
      <c r="E4597" t="str">
        <f>"4574674200864916"</f>
        <v>4574674200864916</v>
      </c>
      <c r="F4597" t="str">
        <f>"549"</f>
        <v>549</v>
      </c>
      <c r="G4597">
        <v>1</v>
      </c>
      <c r="H4597">
        <v>2023</v>
      </c>
      <c r="I4597" t="s">
        <v>4712</v>
      </c>
    </row>
    <row r="4598" spans="1:9" x14ac:dyDescent="0.3">
      <c r="A4598" t="s">
        <v>10157</v>
      </c>
      <c r="B4598" t="s">
        <v>49</v>
      </c>
      <c r="C4598">
        <v>7648876604</v>
      </c>
      <c r="D4598" s="2">
        <v>1</v>
      </c>
      <c r="E4598" t="str">
        <f>"4574674200864932"</f>
        <v>4574674200864932</v>
      </c>
      <c r="F4598" t="str">
        <f>"486"</f>
        <v>486</v>
      </c>
      <c r="G4598">
        <v>1</v>
      </c>
      <c r="H4598">
        <v>2023</v>
      </c>
      <c r="I4598" t="s">
        <v>4713</v>
      </c>
    </row>
    <row r="4599" spans="1:9" x14ac:dyDescent="0.3">
      <c r="A4599" t="s">
        <v>10158</v>
      </c>
      <c r="B4599" t="s">
        <v>50</v>
      </c>
      <c r="C4599">
        <v>7648876604</v>
      </c>
      <c r="D4599" s="2">
        <v>1</v>
      </c>
      <c r="E4599" t="str">
        <f>"4574674200865152"</f>
        <v>4574674200865152</v>
      </c>
      <c r="F4599" t="str">
        <f>"709"</f>
        <v>709</v>
      </c>
      <c r="G4599">
        <v>1</v>
      </c>
      <c r="H4599">
        <v>2023</v>
      </c>
      <c r="I4599" t="s">
        <v>4714</v>
      </c>
    </row>
    <row r="4600" spans="1:9" x14ac:dyDescent="0.3">
      <c r="A4600" t="s">
        <v>10158</v>
      </c>
      <c r="B4600" t="s">
        <v>50</v>
      </c>
      <c r="C4600">
        <v>7648876604</v>
      </c>
      <c r="D4600" s="2">
        <v>1</v>
      </c>
      <c r="E4600" t="str">
        <f>"4574674200864940"</f>
        <v>4574674200864940</v>
      </c>
      <c r="F4600" t="str">
        <f>"297"</f>
        <v>297</v>
      </c>
      <c r="G4600">
        <v>1</v>
      </c>
      <c r="H4600">
        <v>2023</v>
      </c>
      <c r="I4600" t="s">
        <v>4715</v>
      </c>
    </row>
    <row r="4601" spans="1:9" x14ac:dyDescent="0.3">
      <c r="A4601" t="s">
        <v>10158</v>
      </c>
      <c r="B4601" t="s">
        <v>50</v>
      </c>
      <c r="C4601">
        <v>7648876604</v>
      </c>
      <c r="D4601" s="2">
        <v>1</v>
      </c>
      <c r="E4601" t="str">
        <f>"4574674200865186"</f>
        <v>4574674200865186</v>
      </c>
      <c r="F4601" t="str">
        <f>"422"</f>
        <v>422</v>
      </c>
      <c r="G4601">
        <v>1</v>
      </c>
      <c r="H4601">
        <v>2023</v>
      </c>
      <c r="I4601" t="s">
        <v>4716</v>
      </c>
    </row>
    <row r="4602" spans="1:9" x14ac:dyDescent="0.3">
      <c r="A4602" t="s">
        <v>10158</v>
      </c>
      <c r="B4602" t="s">
        <v>50</v>
      </c>
      <c r="C4602">
        <v>7648876604</v>
      </c>
      <c r="D4602" s="2">
        <v>1</v>
      </c>
      <c r="E4602" t="str">
        <f>"4574674200864999"</f>
        <v>4574674200864999</v>
      </c>
      <c r="F4602" t="str">
        <f>"622"</f>
        <v>622</v>
      </c>
      <c r="G4602">
        <v>1</v>
      </c>
      <c r="H4602">
        <v>2023</v>
      </c>
      <c r="I4602" t="s">
        <v>4717</v>
      </c>
    </row>
    <row r="4603" spans="1:9" x14ac:dyDescent="0.3">
      <c r="A4603" t="s">
        <v>10158</v>
      </c>
      <c r="B4603" t="s">
        <v>50</v>
      </c>
      <c r="C4603">
        <v>7648876604</v>
      </c>
      <c r="D4603" s="2">
        <v>1</v>
      </c>
      <c r="E4603" t="str">
        <f>"4574674200865400"</f>
        <v>4574674200865400</v>
      </c>
      <c r="F4603" t="str">
        <f>"509"</f>
        <v>509</v>
      </c>
      <c r="G4603">
        <v>1</v>
      </c>
      <c r="H4603">
        <v>2023</v>
      </c>
      <c r="I4603" t="s">
        <v>4718</v>
      </c>
    </row>
    <row r="4604" spans="1:9" x14ac:dyDescent="0.3">
      <c r="A4604" t="s">
        <v>10158</v>
      </c>
      <c r="B4604" t="s">
        <v>50</v>
      </c>
      <c r="C4604">
        <v>7648876604</v>
      </c>
      <c r="D4604" s="2">
        <v>1</v>
      </c>
      <c r="E4604" t="str">
        <f>"4574674200865426"</f>
        <v>4574674200865426</v>
      </c>
      <c r="F4604" t="str">
        <f>"039"</f>
        <v>039</v>
      </c>
      <c r="G4604">
        <v>1</v>
      </c>
      <c r="H4604">
        <v>2023</v>
      </c>
      <c r="I4604" t="s">
        <v>4719</v>
      </c>
    </row>
    <row r="4605" spans="1:9" x14ac:dyDescent="0.3">
      <c r="A4605" t="s">
        <v>10158</v>
      </c>
      <c r="B4605" t="s">
        <v>50</v>
      </c>
      <c r="C4605">
        <v>7648876604</v>
      </c>
      <c r="D4605" s="2">
        <v>1</v>
      </c>
      <c r="E4605" t="str">
        <f>"4574674200865301"</f>
        <v>4574674200865301</v>
      </c>
      <c r="F4605" t="str">
        <f>"536"</f>
        <v>536</v>
      </c>
      <c r="G4605">
        <v>1</v>
      </c>
      <c r="H4605">
        <v>2023</v>
      </c>
      <c r="I4605" t="s">
        <v>4720</v>
      </c>
    </row>
    <row r="4606" spans="1:9" x14ac:dyDescent="0.3">
      <c r="A4606" t="s">
        <v>10158</v>
      </c>
      <c r="B4606" t="s">
        <v>50</v>
      </c>
      <c r="C4606">
        <v>7648876604</v>
      </c>
      <c r="D4606" s="2">
        <v>1</v>
      </c>
      <c r="E4606" t="str">
        <f>"4574674200865335"</f>
        <v>4574674200865335</v>
      </c>
      <c r="F4606" t="str">
        <f>"860"</f>
        <v>860</v>
      </c>
      <c r="G4606">
        <v>1</v>
      </c>
      <c r="H4606">
        <v>2023</v>
      </c>
      <c r="I4606" t="s">
        <v>4721</v>
      </c>
    </row>
    <row r="4607" spans="1:9" x14ac:dyDescent="0.3">
      <c r="A4607" t="s">
        <v>10158</v>
      </c>
      <c r="B4607" t="s">
        <v>50</v>
      </c>
      <c r="C4607">
        <v>7648876604</v>
      </c>
      <c r="D4607" s="2">
        <v>1</v>
      </c>
      <c r="E4607" t="str">
        <f>"4574674200865442"</f>
        <v>4574674200865442</v>
      </c>
      <c r="F4607" t="str">
        <f>"709"</f>
        <v>709</v>
      </c>
      <c r="G4607">
        <v>1</v>
      </c>
      <c r="H4607">
        <v>2023</v>
      </c>
      <c r="I4607" t="s">
        <v>4722</v>
      </c>
    </row>
    <row r="4608" spans="1:9" x14ac:dyDescent="0.3">
      <c r="A4608" t="s">
        <v>10158</v>
      </c>
      <c r="B4608" t="s">
        <v>50</v>
      </c>
      <c r="C4608">
        <v>7648876604</v>
      </c>
      <c r="D4608" s="2">
        <v>1</v>
      </c>
      <c r="E4608" t="str">
        <f>"4574674200865459"</f>
        <v>4574674200865459</v>
      </c>
      <c r="F4608" t="str">
        <f>"546"</f>
        <v>546</v>
      </c>
      <c r="G4608">
        <v>1</v>
      </c>
      <c r="H4608">
        <v>2023</v>
      </c>
      <c r="I4608" t="s">
        <v>4723</v>
      </c>
    </row>
    <row r="4609" spans="1:9" x14ac:dyDescent="0.3">
      <c r="A4609" t="s">
        <v>10159</v>
      </c>
      <c r="B4609" t="s">
        <v>51</v>
      </c>
      <c r="C4609">
        <v>7648876604</v>
      </c>
      <c r="D4609" s="2">
        <v>1</v>
      </c>
      <c r="E4609" t="str">
        <f>"4574674200865491"</f>
        <v>4574674200865491</v>
      </c>
      <c r="F4609" t="str">
        <f>"154"</f>
        <v>154</v>
      </c>
      <c r="G4609">
        <v>1</v>
      </c>
      <c r="H4609">
        <v>2023</v>
      </c>
      <c r="I4609" t="s">
        <v>4724</v>
      </c>
    </row>
    <row r="4610" spans="1:9" x14ac:dyDescent="0.3">
      <c r="A4610" t="s">
        <v>10159</v>
      </c>
      <c r="B4610" t="s">
        <v>51</v>
      </c>
      <c r="C4610">
        <v>7648876604</v>
      </c>
      <c r="D4610" s="2">
        <v>1</v>
      </c>
      <c r="E4610" t="str">
        <f>"4574674200865525"</f>
        <v>4574674200865525</v>
      </c>
      <c r="F4610" t="str">
        <f>"370"</f>
        <v>370</v>
      </c>
      <c r="G4610">
        <v>1</v>
      </c>
      <c r="H4610">
        <v>2023</v>
      </c>
      <c r="I4610" t="s">
        <v>4725</v>
      </c>
    </row>
    <row r="4611" spans="1:9" x14ac:dyDescent="0.3">
      <c r="A4611" t="s">
        <v>10159</v>
      </c>
      <c r="B4611" t="s">
        <v>51</v>
      </c>
      <c r="C4611">
        <v>7648876604</v>
      </c>
      <c r="D4611" s="2">
        <v>1</v>
      </c>
      <c r="E4611" t="str">
        <f>"4574674200865681"</f>
        <v>4574674200865681</v>
      </c>
      <c r="F4611" t="str">
        <f>"886"</f>
        <v>886</v>
      </c>
      <c r="G4611">
        <v>1</v>
      </c>
      <c r="H4611">
        <v>2023</v>
      </c>
      <c r="I4611" t="s">
        <v>4726</v>
      </c>
    </row>
    <row r="4612" spans="1:9" x14ac:dyDescent="0.3">
      <c r="A4612" t="s">
        <v>10159</v>
      </c>
      <c r="B4612" t="s">
        <v>51</v>
      </c>
      <c r="C4612">
        <v>7648876604</v>
      </c>
      <c r="D4612" s="2">
        <v>1</v>
      </c>
      <c r="E4612" t="str">
        <f>"4574674200865707"</f>
        <v>4574674200865707</v>
      </c>
      <c r="F4612" t="str">
        <f>"286"</f>
        <v>286</v>
      </c>
      <c r="G4612">
        <v>1</v>
      </c>
      <c r="H4612">
        <v>2023</v>
      </c>
      <c r="I4612" t="s">
        <v>4727</v>
      </c>
    </row>
    <row r="4613" spans="1:9" x14ac:dyDescent="0.3">
      <c r="A4613" t="s">
        <v>10159</v>
      </c>
      <c r="B4613" t="s">
        <v>51</v>
      </c>
      <c r="C4613">
        <v>7648876604</v>
      </c>
      <c r="D4613" s="2">
        <v>1</v>
      </c>
      <c r="E4613" t="str">
        <f>"4574674200865558"</f>
        <v>4574674200865558</v>
      </c>
      <c r="F4613" t="str">
        <f>"189"</f>
        <v>189</v>
      </c>
      <c r="G4613">
        <v>1</v>
      </c>
      <c r="H4613">
        <v>2023</v>
      </c>
      <c r="I4613" t="s">
        <v>4728</v>
      </c>
    </row>
    <row r="4614" spans="1:9" x14ac:dyDescent="0.3">
      <c r="A4614" t="s">
        <v>10159</v>
      </c>
      <c r="B4614" t="s">
        <v>51</v>
      </c>
      <c r="C4614">
        <v>7648876604</v>
      </c>
      <c r="D4614" s="2">
        <v>1</v>
      </c>
      <c r="E4614" t="str">
        <f>"4574674200865574"</f>
        <v>4574674200865574</v>
      </c>
      <c r="F4614" t="str">
        <f>"494"</f>
        <v>494</v>
      </c>
      <c r="G4614">
        <v>1</v>
      </c>
      <c r="H4614">
        <v>2023</v>
      </c>
      <c r="I4614" t="s">
        <v>4729</v>
      </c>
    </row>
    <row r="4615" spans="1:9" x14ac:dyDescent="0.3">
      <c r="A4615" t="s">
        <v>10159</v>
      </c>
      <c r="B4615" t="s">
        <v>51</v>
      </c>
      <c r="C4615">
        <v>7648876604</v>
      </c>
      <c r="D4615" s="2">
        <v>1</v>
      </c>
      <c r="E4615" t="str">
        <f>"4574674200865566"</f>
        <v>4574674200865566</v>
      </c>
      <c r="F4615" t="str">
        <f>"905"</f>
        <v>905</v>
      </c>
      <c r="G4615">
        <v>1</v>
      </c>
      <c r="H4615">
        <v>2023</v>
      </c>
      <c r="I4615" t="s">
        <v>4730</v>
      </c>
    </row>
    <row r="4616" spans="1:9" x14ac:dyDescent="0.3">
      <c r="A4616" t="s">
        <v>10159</v>
      </c>
      <c r="B4616" t="s">
        <v>51</v>
      </c>
      <c r="C4616">
        <v>7648876604</v>
      </c>
      <c r="D4616" s="2">
        <v>1</v>
      </c>
      <c r="E4616" t="str">
        <f>"4574674200866036"</f>
        <v>4574674200866036</v>
      </c>
      <c r="F4616" t="str">
        <f>"471"</f>
        <v>471</v>
      </c>
      <c r="G4616">
        <v>1</v>
      </c>
      <c r="H4616">
        <v>2023</v>
      </c>
      <c r="I4616" t="s">
        <v>4731</v>
      </c>
    </row>
    <row r="4617" spans="1:9" x14ac:dyDescent="0.3">
      <c r="A4617" t="s">
        <v>10159</v>
      </c>
      <c r="B4617" t="s">
        <v>51</v>
      </c>
      <c r="C4617">
        <v>7648876604</v>
      </c>
      <c r="D4617" s="2">
        <v>1</v>
      </c>
      <c r="E4617" t="str">
        <f>"4574674200865848"</f>
        <v>4574674200865848</v>
      </c>
      <c r="F4617" t="str">
        <f>"610"</f>
        <v>610</v>
      </c>
      <c r="G4617">
        <v>1</v>
      </c>
      <c r="H4617">
        <v>2023</v>
      </c>
      <c r="I4617" t="s">
        <v>4732</v>
      </c>
    </row>
    <row r="4618" spans="1:9" x14ac:dyDescent="0.3">
      <c r="A4618" t="s">
        <v>10159</v>
      </c>
      <c r="B4618" t="s">
        <v>51</v>
      </c>
      <c r="C4618">
        <v>7648876604</v>
      </c>
      <c r="D4618" s="2">
        <v>1</v>
      </c>
      <c r="E4618" t="str">
        <f>"4574674200865855"</f>
        <v>4574674200865855</v>
      </c>
      <c r="F4618" t="str">
        <f>"719"</f>
        <v>719</v>
      </c>
      <c r="G4618">
        <v>1</v>
      </c>
      <c r="H4618">
        <v>2023</v>
      </c>
      <c r="I4618" t="s">
        <v>4733</v>
      </c>
    </row>
    <row r="4619" spans="1:9" x14ac:dyDescent="0.3">
      <c r="A4619" t="s">
        <v>10130</v>
      </c>
      <c r="B4619" t="s">
        <v>22</v>
      </c>
      <c r="C4619">
        <v>7648876604</v>
      </c>
      <c r="D4619" s="2">
        <v>1</v>
      </c>
      <c r="E4619" t="str">
        <f>"4574674200865871"</f>
        <v>4574674200865871</v>
      </c>
      <c r="F4619" t="str">
        <f>"386"</f>
        <v>386</v>
      </c>
      <c r="G4619">
        <v>1</v>
      </c>
      <c r="H4619">
        <v>2023</v>
      </c>
      <c r="I4619" t="s">
        <v>4734</v>
      </c>
    </row>
    <row r="4620" spans="1:9" x14ac:dyDescent="0.3">
      <c r="A4620" t="s">
        <v>10130</v>
      </c>
      <c r="B4620" t="s">
        <v>22</v>
      </c>
      <c r="C4620">
        <v>7648876604</v>
      </c>
      <c r="D4620" s="2">
        <v>1</v>
      </c>
      <c r="E4620" t="str">
        <f>"4574674200865897"</f>
        <v>4574674200865897</v>
      </c>
      <c r="F4620" t="str">
        <f>"380"</f>
        <v>380</v>
      </c>
      <c r="G4620">
        <v>1</v>
      </c>
      <c r="H4620">
        <v>2023</v>
      </c>
      <c r="I4620" t="s">
        <v>4735</v>
      </c>
    </row>
    <row r="4621" spans="1:9" x14ac:dyDescent="0.3">
      <c r="A4621" t="s">
        <v>10130</v>
      </c>
      <c r="B4621" t="s">
        <v>22</v>
      </c>
      <c r="C4621">
        <v>7648876604</v>
      </c>
      <c r="D4621" s="2">
        <v>1</v>
      </c>
      <c r="E4621" t="str">
        <f>"4574674200865913"</f>
        <v>4574674200865913</v>
      </c>
      <c r="F4621" t="str">
        <f>"315"</f>
        <v>315</v>
      </c>
      <c r="G4621">
        <v>1</v>
      </c>
      <c r="H4621">
        <v>2023</v>
      </c>
      <c r="I4621" t="s">
        <v>4736</v>
      </c>
    </row>
    <row r="4622" spans="1:9" x14ac:dyDescent="0.3">
      <c r="A4622" t="s">
        <v>10130</v>
      </c>
      <c r="B4622" t="s">
        <v>22</v>
      </c>
      <c r="C4622">
        <v>7648876604</v>
      </c>
      <c r="D4622" s="2">
        <v>1</v>
      </c>
      <c r="E4622" t="str">
        <f>"4574674200866184"</f>
        <v>4574674200866184</v>
      </c>
      <c r="F4622" t="str">
        <f>"624"</f>
        <v>624</v>
      </c>
      <c r="G4622">
        <v>1</v>
      </c>
      <c r="H4622">
        <v>2023</v>
      </c>
      <c r="I4622" t="s">
        <v>4737</v>
      </c>
    </row>
    <row r="4623" spans="1:9" x14ac:dyDescent="0.3">
      <c r="A4623" t="s">
        <v>10130</v>
      </c>
      <c r="B4623" t="s">
        <v>22</v>
      </c>
      <c r="C4623">
        <v>7648876604</v>
      </c>
      <c r="D4623" s="2">
        <v>1</v>
      </c>
      <c r="E4623" t="str">
        <f>"4574674200865962"</f>
        <v>4574674200865962</v>
      </c>
      <c r="F4623" t="str">
        <f>"457"</f>
        <v>457</v>
      </c>
      <c r="G4623">
        <v>1</v>
      </c>
      <c r="H4623">
        <v>2023</v>
      </c>
      <c r="I4623" t="s">
        <v>4738</v>
      </c>
    </row>
    <row r="4624" spans="1:9" x14ac:dyDescent="0.3">
      <c r="A4624" t="s">
        <v>10130</v>
      </c>
      <c r="B4624" t="s">
        <v>22</v>
      </c>
      <c r="C4624">
        <v>7648876604</v>
      </c>
      <c r="D4624" s="2">
        <v>1</v>
      </c>
      <c r="E4624" t="str">
        <f>"4574674200866275"</f>
        <v>4574674200866275</v>
      </c>
      <c r="F4624" t="str">
        <f>"321"</f>
        <v>321</v>
      </c>
      <c r="G4624">
        <v>1</v>
      </c>
      <c r="H4624">
        <v>2023</v>
      </c>
      <c r="I4624" t="s">
        <v>4739</v>
      </c>
    </row>
    <row r="4625" spans="1:9" x14ac:dyDescent="0.3">
      <c r="A4625" t="s">
        <v>10130</v>
      </c>
      <c r="B4625" t="s">
        <v>22</v>
      </c>
      <c r="C4625">
        <v>7648876604</v>
      </c>
      <c r="D4625" s="2">
        <v>1</v>
      </c>
      <c r="E4625" t="str">
        <f>"4574674200865970"</f>
        <v>4574674200865970</v>
      </c>
      <c r="F4625" t="str">
        <f>"832"</f>
        <v>832</v>
      </c>
      <c r="G4625">
        <v>1</v>
      </c>
      <c r="H4625">
        <v>2023</v>
      </c>
      <c r="I4625" t="s">
        <v>4740</v>
      </c>
    </row>
    <row r="4626" spans="1:9" x14ac:dyDescent="0.3">
      <c r="A4626" t="s">
        <v>10130</v>
      </c>
      <c r="B4626" t="s">
        <v>22</v>
      </c>
      <c r="C4626">
        <v>7648876604</v>
      </c>
      <c r="D4626" s="2">
        <v>1</v>
      </c>
      <c r="E4626" t="str">
        <f>"4574674200866317"</f>
        <v>4574674200866317</v>
      </c>
      <c r="F4626" t="str">
        <f>"142"</f>
        <v>142</v>
      </c>
      <c r="G4626">
        <v>1</v>
      </c>
      <c r="H4626">
        <v>2023</v>
      </c>
      <c r="I4626" t="s">
        <v>4741</v>
      </c>
    </row>
    <row r="4627" spans="1:9" x14ac:dyDescent="0.3">
      <c r="A4627" t="s">
        <v>10130</v>
      </c>
      <c r="B4627" t="s">
        <v>22</v>
      </c>
      <c r="C4627">
        <v>7648876604</v>
      </c>
      <c r="D4627" s="2">
        <v>1</v>
      </c>
      <c r="E4627" t="str">
        <f>"4574674200865996"</f>
        <v>4574674200865996</v>
      </c>
      <c r="F4627" t="str">
        <f>"885"</f>
        <v>885</v>
      </c>
      <c r="G4627">
        <v>1</v>
      </c>
      <c r="H4627">
        <v>2023</v>
      </c>
      <c r="I4627" t="s">
        <v>4742</v>
      </c>
    </row>
    <row r="4628" spans="1:9" x14ac:dyDescent="0.3">
      <c r="A4628" t="s">
        <v>10130</v>
      </c>
      <c r="B4628" t="s">
        <v>22</v>
      </c>
      <c r="C4628">
        <v>7648876604</v>
      </c>
      <c r="D4628" s="2">
        <v>1</v>
      </c>
      <c r="E4628" t="str">
        <f>"4574674200866408"</f>
        <v>4574674200866408</v>
      </c>
      <c r="F4628" t="str">
        <f>"539"</f>
        <v>539</v>
      </c>
      <c r="G4628">
        <v>1</v>
      </c>
      <c r="H4628">
        <v>2023</v>
      </c>
      <c r="I4628" t="s">
        <v>4743</v>
      </c>
    </row>
    <row r="4629" spans="1:9" x14ac:dyDescent="0.3">
      <c r="A4629" t="s">
        <v>10132</v>
      </c>
      <c r="B4629" t="s">
        <v>24</v>
      </c>
      <c r="C4629">
        <v>7648876604</v>
      </c>
      <c r="D4629" s="2">
        <v>1</v>
      </c>
      <c r="E4629" t="str">
        <f>"4574674200866424"</f>
        <v>4574674200866424</v>
      </c>
      <c r="F4629" t="str">
        <f>"319"</f>
        <v>319</v>
      </c>
      <c r="G4629">
        <v>1</v>
      </c>
      <c r="H4629">
        <v>2023</v>
      </c>
      <c r="I4629" t="s">
        <v>4744</v>
      </c>
    </row>
    <row r="4630" spans="1:9" x14ac:dyDescent="0.3">
      <c r="A4630" t="s">
        <v>10132</v>
      </c>
      <c r="B4630" t="s">
        <v>24</v>
      </c>
      <c r="C4630">
        <v>7648876604</v>
      </c>
      <c r="D4630" s="2">
        <v>1</v>
      </c>
      <c r="E4630" t="str">
        <f>"4574674200866630"</f>
        <v>4574674200866630</v>
      </c>
      <c r="F4630" t="str">
        <f>"852"</f>
        <v>852</v>
      </c>
      <c r="G4630">
        <v>1</v>
      </c>
      <c r="H4630">
        <v>2023</v>
      </c>
      <c r="I4630" t="s">
        <v>4745</v>
      </c>
    </row>
    <row r="4631" spans="1:9" x14ac:dyDescent="0.3">
      <c r="A4631" t="s">
        <v>10132</v>
      </c>
      <c r="B4631" t="s">
        <v>24</v>
      </c>
      <c r="C4631">
        <v>7648876604</v>
      </c>
      <c r="D4631" s="2">
        <v>1</v>
      </c>
      <c r="E4631" t="str">
        <f>"4574674200866473"</f>
        <v>4574674200866473</v>
      </c>
      <c r="F4631" t="str">
        <f>"882"</f>
        <v>882</v>
      </c>
      <c r="G4631">
        <v>1</v>
      </c>
      <c r="H4631">
        <v>2023</v>
      </c>
      <c r="I4631" t="s">
        <v>4746</v>
      </c>
    </row>
    <row r="4632" spans="1:9" x14ac:dyDescent="0.3">
      <c r="A4632" t="s">
        <v>10132</v>
      </c>
      <c r="B4632" t="s">
        <v>24</v>
      </c>
      <c r="C4632">
        <v>7648876604</v>
      </c>
      <c r="D4632" s="2">
        <v>1</v>
      </c>
      <c r="E4632" t="str">
        <f>"4574674200866481"</f>
        <v>4574674200866481</v>
      </c>
      <c r="F4632" t="str">
        <f>"345"</f>
        <v>345</v>
      </c>
      <c r="G4632">
        <v>1</v>
      </c>
      <c r="H4632">
        <v>2023</v>
      </c>
      <c r="I4632" t="s">
        <v>4747</v>
      </c>
    </row>
    <row r="4633" spans="1:9" x14ac:dyDescent="0.3">
      <c r="A4633" t="s">
        <v>10132</v>
      </c>
      <c r="B4633" t="s">
        <v>24</v>
      </c>
      <c r="C4633">
        <v>7648876604</v>
      </c>
      <c r="D4633" s="2">
        <v>1</v>
      </c>
      <c r="E4633" t="str">
        <f>"4574674200866499"</f>
        <v>4574674200866499</v>
      </c>
      <c r="F4633" t="str">
        <f>"605"</f>
        <v>605</v>
      </c>
      <c r="G4633">
        <v>1</v>
      </c>
      <c r="H4633">
        <v>2023</v>
      </c>
      <c r="I4633" t="s">
        <v>4748</v>
      </c>
    </row>
    <row r="4634" spans="1:9" x14ac:dyDescent="0.3">
      <c r="A4634" t="s">
        <v>10132</v>
      </c>
      <c r="B4634" t="s">
        <v>24</v>
      </c>
      <c r="C4634">
        <v>7648876604</v>
      </c>
      <c r="D4634" s="2">
        <v>1</v>
      </c>
      <c r="E4634" t="str">
        <f>"4574674200866515"</f>
        <v>4574674200866515</v>
      </c>
      <c r="F4634" t="str">
        <f>"271"</f>
        <v>271</v>
      </c>
      <c r="G4634">
        <v>1</v>
      </c>
      <c r="H4634">
        <v>2023</v>
      </c>
      <c r="I4634" t="s">
        <v>4749</v>
      </c>
    </row>
    <row r="4635" spans="1:9" x14ac:dyDescent="0.3">
      <c r="A4635" t="s">
        <v>10132</v>
      </c>
      <c r="B4635" t="s">
        <v>24</v>
      </c>
      <c r="C4635">
        <v>7648876604</v>
      </c>
      <c r="D4635" s="2">
        <v>1</v>
      </c>
      <c r="E4635" t="str">
        <f>"4574674200866523"</f>
        <v>4574674200866523</v>
      </c>
      <c r="F4635" t="str">
        <f>"266"</f>
        <v>266</v>
      </c>
      <c r="G4635">
        <v>1</v>
      </c>
      <c r="H4635">
        <v>2023</v>
      </c>
      <c r="I4635" t="s">
        <v>4750</v>
      </c>
    </row>
    <row r="4636" spans="1:9" x14ac:dyDescent="0.3">
      <c r="A4636" t="s">
        <v>10132</v>
      </c>
      <c r="B4636" t="s">
        <v>24</v>
      </c>
      <c r="C4636">
        <v>7648876604</v>
      </c>
      <c r="D4636" s="2">
        <v>1</v>
      </c>
      <c r="E4636" t="str">
        <f>"4574674200866549"</f>
        <v>4574674200866549</v>
      </c>
      <c r="F4636" t="str">
        <f>"726"</f>
        <v>726</v>
      </c>
      <c r="G4636">
        <v>1</v>
      </c>
      <c r="H4636">
        <v>2023</v>
      </c>
      <c r="I4636" t="s">
        <v>4751</v>
      </c>
    </row>
    <row r="4637" spans="1:9" x14ac:dyDescent="0.3">
      <c r="A4637" t="s">
        <v>10132</v>
      </c>
      <c r="B4637" t="s">
        <v>24</v>
      </c>
      <c r="C4637">
        <v>7648876604</v>
      </c>
      <c r="D4637" s="2">
        <v>1</v>
      </c>
      <c r="E4637" t="str">
        <f>"4574674200866796"</f>
        <v>4574674200866796</v>
      </c>
      <c r="F4637" t="str">
        <f>"700"</f>
        <v>700</v>
      </c>
      <c r="G4637">
        <v>1</v>
      </c>
      <c r="H4637">
        <v>2023</v>
      </c>
      <c r="I4637" t="s">
        <v>4752</v>
      </c>
    </row>
    <row r="4638" spans="1:9" x14ac:dyDescent="0.3">
      <c r="A4638" t="s">
        <v>10132</v>
      </c>
      <c r="B4638" t="s">
        <v>24</v>
      </c>
      <c r="C4638">
        <v>7648876604</v>
      </c>
      <c r="D4638" s="2">
        <v>1</v>
      </c>
      <c r="E4638" t="str">
        <f>"4574674200866580"</f>
        <v>4574674200866580</v>
      </c>
      <c r="F4638" t="str">
        <f>"256"</f>
        <v>256</v>
      </c>
      <c r="G4638">
        <v>1</v>
      </c>
      <c r="H4638">
        <v>2023</v>
      </c>
      <c r="I4638" t="s">
        <v>4753</v>
      </c>
    </row>
    <row r="4639" spans="1:9" x14ac:dyDescent="0.3">
      <c r="A4639" t="s">
        <v>10160</v>
      </c>
      <c r="B4639" t="s">
        <v>52</v>
      </c>
      <c r="C4639">
        <v>7648876604</v>
      </c>
      <c r="D4639" s="2">
        <v>1</v>
      </c>
      <c r="E4639" t="str">
        <f>"4574674200867018"</f>
        <v>4574674200867018</v>
      </c>
      <c r="F4639" t="str">
        <f>"097"</f>
        <v>097</v>
      </c>
      <c r="G4639">
        <v>1</v>
      </c>
      <c r="H4639">
        <v>2023</v>
      </c>
      <c r="I4639" t="s">
        <v>4754</v>
      </c>
    </row>
    <row r="4640" spans="1:9" x14ac:dyDescent="0.3">
      <c r="A4640" t="s">
        <v>10160</v>
      </c>
      <c r="B4640" t="s">
        <v>52</v>
      </c>
      <c r="C4640">
        <v>7648876604</v>
      </c>
      <c r="D4640" s="2">
        <v>1</v>
      </c>
      <c r="E4640" t="str">
        <f>"4574674200866598"</f>
        <v>4574674200866598</v>
      </c>
      <c r="F4640" t="str">
        <f>"310"</f>
        <v>310</v>
      </c>
      <c r="G4640">
        <v>1</v>
      </c>
      <c r="H4640">
        <v>2023</v>
      </c>
      <c r="I4640" t="s">
        <v>4755</v>
      </c>
    </row>
    <row r="4641" spans="1:9" x14ac:dyDescent="0.3">
      <c r="A4641" t="s">
        <v>10160</v>
      </c>
      <c r="B4641" t="s">
        <v>52</v>
      </c>
      <c r="C4641">
        <v>7648876604</v>
      </c>
      <c r="D4641" s="2">
        <v>1</v>
      </c>
      <c r="E4641" t="str">
        <f>"4574674200866978"</f>
        <v>4574674200866978</v>
      </c>
      <c r="F4641" t="str">
        <f>"377"</f>
        <v>377</v>
      </c>
      <c r="G4641">
        <v>1</v>
      </c>
      <c r="H4641">
        <v>2023</v>
      </c>
      <c r="I4641" t="s">
        <v>4756</v>
      </c>
    </row>
    <row r="4642" spans="1:9" x14ac:dyDescent="0.3">
      <c r="A4642" t="s">
        <v>10160</v>
      </c>
      <c r="B4642" t="s">
        <v>52</v>
      </c>
      <c r="C4642">
        <v>7648876604</v>
      </c>
      <c r="D4642" s="2">
        <v>1</v>
      </c>
      <c r="E4642" t="str">
        <f>"4574674200867026"</f>
        <v>4574674200867026</v>
      </c>
      <c r="F4642" t="str">
        <f>"390"</f>
        <v>390</v>
      </c>
      <c r="G4642">
        <v>1</v>
      </c>
      <c r="H4642">
        <v>2023</v>
      </c>
      <c r="I4642" t="s">
        <v>4757</v>
      </c>
    </row>
    <row r="4643" spans="1:9" x14ac:dyDescent="0.3">
      <c r="A4643" t="s">
        <v>10160</v>
      </c>
      <c r="B4643" t="s">
        <v>52</v>
      </c>
      <c r="C4643">
        <v>7648876604</v>
      </c>
      <c r="D4643" s="2">
        <v>1</v>
      </c>
      <c r="E4643" t="str">
        <f>"4574674200867059"</f>
        <v>4574674200867059</v>
      </c>
      <c r="F4643" t="str">
        <f>"543"</f>
        <v>543</v>
      </c>
      <c r="G4643">
        <v>1</v>
      </c>
      <c r="H4643">
        <v>2023</v>
      </c>
      <c r="I4643" t="s">
        <v>4758</v>
      </c>
    </row>
    <row r="4644" spans="1:9" x14ac:dyDescent="0.3">
      <c r="A4644" t="s">
        <v>10160</v>
      </c>
      <c r="B4644" t="s">
        <v>52</v>
      </c>
      <c r="C4644">
        <v>7648876604</v>
      </c>
      <c r="D4644" s="2">
        <v>1</v>
      </c>
      <c r="E4644" t="str">
        <f>"4574674200867067"</f>
        <v>4574674200867067</v>
      </c>
      <c r="F4644" t="str">
        <f>"462"</f>
        <v>462</v>
      </c>
      <c r="G4644">
        <v>1</v>
      </c>
      <c r="H4644">
        <v>2023</v>
      </c>
      <c r="I4644" t="s">
        <v>4759</v>
      </c>
    </row>
    <row r="4645" spans="1:9" x14ac:dyDescent="0.3">
      <c r="A4645" t="s">
        <v>10160</v>
      </c>
      <c r="B4645" t="s">
        <v>52</v>
      </c>
      <c r="C4645">
        <v>7648876604</v>
      </c>
      <c r="D4645" s="2">
        <v>1</v>
      </c>
      <c r="E4645" t="str">
        <f>"4574674200867356"</f>
        <v>4574674200867356</v>
      </c>
      <c r="F4645" t="str">
        <f>"653"</f>
        <v>653</v>
      </c>
      <c r="G4645">
        <v>1</v>
      </c>
      <c r="H4645">
        <v>2023</v>
      </c>
      <c r="I4645" t="s">
        <v>4760</v>
      </c>
    </row>
    <row r="4646" spans="1:9" x14ac:dyDescent="0.3">
      <c r="A4646" t="s">
        <v>10160</v>
      </c>
      <c r="B4646" t="s">
        <v>52</v>
      </c>
      <c r="C4646">
        <v>7648876604</v>
      </c>
      <c r="D4646" s="2">
        <v>1</v>
      </c>
      <c r="E4646" t="str">
        <f>"4574674200867109"</f>
        <v>4574674200867109</v>
      </c>
      <c r="F4646" t="str">
        <f>"391"</f>
        <v>391</v>
      </c>
      <c r="G4646">
        <v>1</v>
      </c>
      <c r="H4646">
        <v>2023</v>
      </c>
      <c r="I4646" t="s">
        <v>4761</v>
      </c>
    </row>
    <row r="4647" spans="1:9" x14ac:dyDescent="0.3">
      <c r="A4647" t="s">
        <v>10160</v>
      </c>
      <c r="B4647" t="s">
        <v>52</v>
      </c>
      <c r="C4647">
        <v>7648876604</v>
      </c>
      <c r="D4647" s="2">
        <v>1</v>
      </c>
      <c r="E4647" t="str">
        <f>"4574674200867117"</f>
        <v>4574674200867117</v>
      </c>
      <c r="F4647" t="str">
        <f>"024"</f>
        <v>024</v>
      </c>
      <c r="G4647">
        <v>1</v>
      </c>
      <c r="H4647">
        <v>2023</v>
      </c>
      <c r="I4647" t="s">
        <v>4762</v>
      </c>
    </row>
    <row r="4648" spans="1:9" x14ac:dyDescent="0.3">
      <c r="A4648" t="s">
        <v>10160</v>
      </c>
      <c r="B4648" t="s">
        <v>52</v>
      </c>
      <c r="C4648">
        <v>7648876604</v>
      </c>
      <c r="D4648" s="2">
        <v>1</v>
      </c>
      <c r="E4648" t="str">
        <f>"4574674200867133"</f>
        <v>4574674200867133</v>
      </c>
      <c r="F4648" t="str">
        <f>"548"</f>
        <v>548</v>
      </c>
      <c r="G4648">
        <v>1</v>
      </c>
      <c r="H4648">
        <v>2023</v>
      </c>
      <c r="I4648" t="s">
        <v>4763</v>
      </c>
    </row>
    <row r="4649" spans="1:9" x14ac:dyDescent="0.3">
      <c r="A4649" t="s">
        <v>10161</v>
      </c>
      <c r="B4649" t="s">
        <v>53</v>
      </c>
      <c r="C4649">
        <v>7648876604</v>
      </c>
      <c r="D4649" s="2">
        <v>1</v>
      </c>
      <c r="E4649" t="str">
        <f>"4574674200867158"</f>
        <v>4574674200867158</v>
      </c>
      <c r="F4649" t="str">
        <f>"726"</f>
        <v>726</v>
      </c>
      <c r="G4649">
        <v>1</v>
      </c>
      <c r="H4649">
        <v>2023</v>
      </c>
      <c r="I4649" t="s">
        <v>4764</v>
      </c>
    </row>
    <row r="4650" spans="1:9" x14ac:dyDescent="0.3">
      <c r="A4650" t="s">
        <v>10161</v>
      </c>
      <c r="B4650" t="s">
        <v>53</v>
      </c>
      <c r="C4650">
        <v>7648876604</v>
      </c>
      <c r="D4650" s="2">
        <v>1</v>
      </c>
      <c r="E4650" t="str">
        <f>"4574674200867166"</f>
        <v>4574674200867166</v>
      </c>
      <c r="F4650" t="str">
        <f>"318"</f>
        <v>318</v>
      </c>
      <c r="G4650">
        <v>1</v>
      </c>
      <c r="H4650">
        <v>2023</v>
      </c>
      <c r="I4650" t="s">
        <v>4765</v>
      </c>
    </row>
    <row r="4651" spans="1:9" x14ac:dyDescent="0.3">
      <c r="A4651" t="s">
        <v>10161</v>
      </c>
      <c r="B4651" t="s">
        <v>53</v>
      </c>
      <c r="C4651">
        <v>7648876604</v>
      </c>
      <c r="D4651" s="2">
        <v>1</v>
      </c>
      <c r="E4651" t="str">
        <f>"4574674200867174"</f>
        <v>4574674200867174</v>
      </c>
      <c r="F4651" t="str">
        <f>"053"</f>
        <v>053</v>
      </c>
      <c r="G4651">
        <v>1</v>
      </c>
      <c r="H4651">
        <v>2023</v>
      </c>
      <c r="I4651" t="s">
        <v>4766</v>
      </c>
    </row>
    <row r="4652" spans="1:9" x14ac:dyDescent="0.3">
      <c r="A4652" t="s">
        <v>10161</v>
      </c>
      <c r="B4652" t="s">
        <v>53</v>
      </c>
      <c r="C4652">
        <v>7648876604</v>
      </c>
      <c r="D4652" s="2">
        <v>1</v>
      </c>
      <c r="E4652" t="str">
        <f>"4574674200867497"</f>
        <v>4574674200867497</v>
      </c>
      <c r="F4652" t="str">
        <f>"028"</f>
        <v>028</v>
      </c>
      <c r="G4652">
        <v>1</v>
      </c>
      <c r="H4652">
        <v>2023</v>
      </c>
      <c r="I4652" t="s">
        <v>4767</v>
      </c>
    </row>
    <row r="4653" spans="1:9" x14ac:dyDescent="0.3">
      <c r="A4653" t="s">
        <v>10161</v>
      </c>
      <c r="B4653" t="s">
        <v>53</v>
      </c>
      <c r="C4653">
        <v>7648876604</v>
      </c>
      <c r="D4653" s="2">
        <v>1</v>
      </c>
      <c r="E4653" t="str">
        <f>"4574674200867612"</f>
        <v>4574674200867612</v>
      </c>
      <c r="F4653" t="str">
        <f>"200"</f>
        <v>200</v>
      </c>
      <c r="G4653">
        <v>1</v>
      </c>
      <c r="H4653">
        <v>2023</v>
      </c>
      <c r="I4653" t="s">
        <v>4768</v>
      </c>
    </row>
    <row r="4654" spans="1:9" x14ac:dyDescent="0.3">
      <c r="A4654" t="s">
        <v>10161</v>
      </c>
      <c r="B4654" t="s">
        <v>53</v>
      </c>
      <c r="C4654">
        <v>7648876604</v>
      </c>
      <c r="D4654" s="2">
        <v>1</v>
      </c>
      <c r="E4654" t="str">
        <f>"4574674200867653"</f>
        <v>4574674200867653</v>
      </c>
      <c r="F4654" t="str">
        <f>"662"</f>
        <v>662</v>
      </c>
      <c r="G4654">
        <v>1</v>
      </c>
      <c r="H4654">
        <v>2023</v>
      </c>
      <c r="I4654" t="s">
        <v>4769</v>
      </c>
    </row>
    <row r="4655" spans="1:9" x14ac:dyDescent="0.3">
      <c r="A4655" t="s">
        <v>10161</v>
      </c>
      <c r="B4655" t="s">
        <v>53</v>
      </c>
      <c r="C4655">
        <v>7648876604</v>
      </c>
      <c r="D4655" s="2">
        <v>1</v>
      </c>
      <c r="E4655" t="str">
        <f>"4574674200867638"</f>
        <v>4574674200867638</v>
      </c>
      <c r="F4655" t="str">
        <f>"729"</f>
        <v>729</v>
      </c>
      <c r="G4655">
        <v>1</v>
      </c>
      <c r="H4655">
        <v>2023</v>
      </c>
      <c r="I4655" t="s">
        <v>4770</v>
      </c>
    </row>
    <row r="4656" spans="1:9" x14ac:dyDescent="0.3">
      <c r="A4656" t="s">
        <v>10161</v>
      </c>
      <c r="B4656" t="s">
        <v>53</v>
      </c>
      <c r="C4656">
        <v>7648876604</v>
      </c>
      <c r="D4656" s="2">
        <v>1</v>
      </c>
      <c r="E4656" t="str">
        <f>"4574674200867844"</f>
        <v>4574674200867844</v>
      </c>
      <c r="F4656" t="str">
        <f>"013"</f>
        <v>013</v>
      </c>
      <c r="G4656">
        <v>1</v>
      </c>
      <c r="H4656">
        <v>2023</v>
      </c>
      <c r="I4656" t="s">
        <v>4771</v>
      </c>
    </row>
    <row r="4657" spans="1:9" x14ac:dyDescent="0.3">
      <c r="A4657" t="s">
        <v>10161</v>
      </c>
      <c r="B4657" t="s">
        <v>53</v>
      </c>
      <c r="C4657">
        <v>7648876604</v>
      </c>
      <c r="D4657" s="2">
        <v>1</v>
      </c>
      <c r="E4657" t="str">
        <f>"4574674200867679"</f>
        <v>4574674200867679</v>
      </c>
      <c r="F4657" t="str">
        <f>"950"</f>
        <v>950</v>
      </c>
      <c r="G4657">
        <v>1</v>
      </c>
      <c r="H4657">
        <v>2023</v>
      </c>
      <c r="I4657" t="s">
        <v>4772</v>
      </c>
    </row>
    <row r="4658" spans="1:9" x14ac:dyDescent="0.3">
      <c r="A4658" t="s">
        <v>10161</v>
      </c>
      <c r="B4658" t="s">
        <v>53</v>
      </c>
      <c r="C4658">
        <v>7648876604</v>
      </c>
      <c r="D4658" s="2">
        <v>1</v>
      </c>
      <c r="E4658" t="str">
        <f>"4574674200867661"</f>
        <v>4574674200867661</v>
      </c>
      <c r="F4658" t="str">
        <f>"894"</f>
        <v>894</v>
      </c>
      <c r="G4658">
        <v>1</v>
      </c>
      <c r="H4658">
        <v>2023</v>
      </c>
      <c r="I4658" t="s">
        <v>4773</v>
      </c>
    </row>
    <row r="4659" spans="1:9" x14ac:dyDescent="0.3">
      <c r="A4659" t="s">
        <v>10148</v>
      </c>
      <c r="B4659" t="s">
        <v>40</v>
      </c>
      <c r="C4659">
        <v>7648876604</v>
      </c>
      <c r="D4659" s="2">
        <v>1</v>
      </c>
      <c r="E4659" t="str">
        <f>"4574674200867687"</f>
        <v>4574674200867687</v>
      </c>
      <c r="F4659" t="str">
        <f>"271"</f>
        <v>271</v>
      </c>
      <c r="G4659">
        <v>1</v>
      </c>
      <c r="H4659">
        <v>2023</v>
      </c>
      <c r="I4659" t="s">
        <v>4774</v>
      </c>
    </row>
    <row r="4660" spans="1:9" x14ac:dyDescent="0.3">
      <c r="A4660" t="s">
        <v>10148</v>
      </c>
      <c r="B4660" t="s">
        <v>40</v>
      </c>
      <c r="C4660">
        <v>7648876604</v>
      </c>
      <c r="D4660" s="2">
        <v>1</v>
      </c>
      <c r="E4660" t="str">
        <f>"4574674200867711"</f>
        <v>4574674200867711</v>
      </c>
      <c r="F4660" t="str">
        <f>"070"</f>
        <v>070</v>
      </c>
      <c r="G4660">
        <v>1</v>
      </c>
      <c r="H4660">
        <v>2023</v>
      </c>
      <c r="I4660" t="s">
        <v>4775</v>
      </c>
    </row>
    <row r="4661" spans="1:9" x14ac:dyDescent="0.3">
      <c r="A4661" t="s">
        <v>10148</v>
      </c>
      <c r="B4661" t="s">
        <v>40</v>
      </c>
      <c r="C4661">
        <v>7648876604</v>
      </c>
      <c r="D4661" s="2">
        <v>1</v>
      </c>
      <c r="E4661" t="str">
        <f>"4574674200869592"</f>
        <v>4574674200869592</v>
      </c>
      <c r="F4661" t="str">
        <f>"925"</f>
        <v>925</v>
      </c>
      <c r="G4661">
        <v>1</v>
      </c>
      <c r="H4661">
        <v>2023</v>
      </c>
      <c r="I4661" t="s">
        <v>4776</v>
      </c>
    </row>
    <row r="4662" spans="1:9" x14ac:dyDescent="0.3">
      <c r="A4662" t="s">
        <v>10148</v>
      </c>
      <c r="B4662" t="s">
        <v>40</v>
      </c>
      <c r="C4662">
        <v>7648876604</v>
      </c>
      <c r="D4662" s="2">
        <v>1</v>
      </c>
      <c r="E4662" t="str">
        <f>"4574674200870038"</f>
        <v>4574674200870038</v>
      </c>
      <c r="F4662" t="str">
        <f>"673"</f>
        <v>673</v>
      </c>
      <c r="G4662">
        <v>1</v>
      </c>
      <c r="H4662">
        <v>2023</v>
      </c>
      <c r="I4662" t="s">
        <v>4777</v>
      </c>
    </row>
    <row r="4663" spans="1:9" x14ac:dyDescent="0.3">
      <c r="A4663" t="s">
        <v>10148</v>
      </c>
      <c r="B4663" t="s">
        <v>40</v>
      </c>
      <c r="C4663">
        <v>7648876604</v>
      </c>
      <c r="D4663" s="2">
        <v>1</v>
      </c>
      <c r="E4663" t="str">
        <f>"4574674200870046"</f>
        <v>4574674200870046</v>
      </c>
      <c r="F4663" t="str">
        <f>"336"</f>
        <v>336</v>
      </c>
      <c r="G4663">
        <v>1</v>
      </c>
      <c r="H4663">
        <v>2023</v>
      </c>
      <c r="I4663" t="s">
        <v>4778</v>
      </c>
    </row>
    <row r="4664" spans="1:9" x14ac:dyDescent="0.3">
      <c r="A4664" t="s">
        <v>10148</v>
      </c>
      <c r="B4664" t="s">
        <v>40</v>
      </c>
      <c r="C4664">
        <v>7648876604</v>
      </c>
      <c r="D4664" s="2">
        <v>1</v>
      </c>
      <c r="E4664" t="str">
        <f>"4574674200870293"</f>
        <v>4574674200870293</v>
      </c>
      <c r="F4664" t="str">
        <f>"675"</f>
        <v>675</v>
      </c>
      <c r="G4664">
        <v>1</v>
      </c>
      <c r="H4664">
        <v>2023</v>
      </c>
      <c r="I4664" t="s">
        <v>4779</v>
      </c>
    </row>
    <row r="4665" spans="1:9" x14ac:dyDescent="0.3">
      <c r="A4665" t="s">
        <v>10148</v>
      </c>
      <c r="B4665" t="s">
        <v>40</v>
      </c>
      <c r="C4665">
        <v>7648876604</v>
      </c>
      <c r="D4665" s="2">
        <v>1</v>
      </c>
      <c r="E4665" t="str">
        <f>"4574674200870087"</f>
        <v>4574674200870087</v>
      </c>
      <c r="F4665" t="str">
        <f>"532"</f>
        <v>532</v>
      </c>
      <c r="G4665">
        <v>1</v>
      </c>
      <c r="H4665">
        <v>2023</v>
      </c>
      <c r="I4665" t="s">
        <v>4780</v>
      </c>
    </row>
    <row r="4666" spans="1:9" x14ac:dyDescent="0.3">
      <c r="A4666" t="s">
        <v>10148</v>
      </c>
      <c r="B4666" t="s">
        <v>40</v>
      </c>
      <c r="C4666">
        <v>7648876604</v>
      </c>
      <c r="D4666" s="2">
        <v>1</v>
      </c>
      <c r="E4666" t="str">
        <f>"4574674200870079"</f>
        <v>4574674200870079</v>
      </c>
      <c r="F4666" t="str">
        <f>"225"</f>
        <v>225</v>
      </c>
      <c r="G4666">
        <v>1</v>
      </c>
      <c r="H4666">
        <v>2023</v>
      </c>
      <c r="I4666" t="s">
        <v>4781</v>
      </c>
    </row>
    <row r="4667" spans="1:9" x14ac:dyDescent="0.3">
      <c r="A4667" t="s">
        <v>10148</v>
      </c>
      <c r="B4667" t="s">
        <v>40</v>
      </c>
      <c r="C4667">
        <v>7648876604</v>
      </c>
      <c r="D4667" s="2">
        <v>1</v>
      </c>
      <c r="E4667" t="str">
        <f>"4574674200870095"</f>
        <v>4574674200870095</v>
      </c>
      <c r="F4667" t="str">
        <f>"345"</f>
        <v>345</v>
      </c>
      <c r="G4667">
        <v>1</v>
      </c>
      <c r="H4667">
        <v>2023</v>
      </c>
      <c r="I4667" t="s">
        <v>4782</v>
      </c>
    </row>
    <row r="4668" spans="1:9" x14ac:dyDescent="0.3">
      <c r="A4668" t="s">
        <v>10148</v>
      </c>
      <c r="B4668" t="s">
        <v>40</v>
      </c>
      <c r="C4668">
        <v>7648876604</v>
      </c>
      <c r="D4668" s="2">
        <v>1</v>
      </c>
      <c r="E4668" t="str">
        <f>"4574674200870111"</f>
        <v>4574674200870111</v>
      </c>
      <c r="F4668" t="str">
        <f>"780"</f>
        <v>780</v>
      </c>
      <c r="G4668">
        <v>1</v>
      </c>
      <c r="H4668">
        <v>2023</v>
      </c>
      <c r="I4668" t="s">
        <v>4783</v>
      </c>
    </row>
    <row r="4669" spans="1:9" x14ac:dyDescent="0.3">
      <c r="A4669" t="s">
        <v>10149</v>
      </c>
      <c r="B4669" t="s">
        <v>41</v>
      </c>
      <c r="C4669">
        <v>7648876604</v>
      </c>
      <c r="D4669" s="2">
        <v>1</v>
      </c>
      <c r="E4669" t="str">
        <f>"4574674200870145"</f>
        <v>4574674200870145</v>
      </c>
      <c r="F4669" t="str">
        <f>"132"</f>
        <v>132</v>
      </c>
      <c r="G4669">
        <v>1</v>
      </c>
      <c r="H4669">
        <v>2023</v>
      </c>
      <c r="I4669" t="s">
        <v>4784</v>
      </c>
    </row>
    <row r="4670" spans="1:9" x14ac:dyDescent="0.3">
      <c r="A4670" t="s">
        <v>10149</v>
      </c>
      <c r="B4670" t="s">
        <v>41</v>
      </c>
      <c r="C4670">
        <v>7648876604</v>
      </c>
      <c r="D4670" s="2">
        <v>1</v>
      </c>
      <c r="E4670" t="str">
        <f>"4574674200870160"</f>
        <v>4574674200870160</v>
      </c>
      <c r="F4670" t="str">
        <f>"229"</f>
        <v>229</v>
      </c>
      <c r="G4670">
        <v>1</v>
      </c>
      <c r="H4670">
        <v>2023</v>
      </c>
      <c r="I4670" t="s">
        <v>4785</v>
      </c>
    </row>
    <row r="4671" spans="1:9" x14ac:dyDescent="0.3">
      <c r="A4671" t="s">
        <v>10149</v>
      </c>
      <c r="B4671" t="s">
        <v>41</v>
      </c>
      <c r="C4671">
        <v>7648876604</v>
      </c>
      <c r="D4671" s="2">
        <v>1</v>
      </c>
      <c r="E4671" t="str">
        <f>"4574674200870459"</f>
        <v>4574674200870459</v>
      </c>
      <c r="F4671" t="str">
        <f>"503"</f>
        <v>503</v>
      </c>
      <c r="G4671">
        <v>1</v>
      </c>
      <c r="H4671">
        <v>2023</v>
      </c>
      <c r="I4671" t="s">
        <v>4786</v>
      </c>
    </row>
    <row r="4672" spans="1:9" x14ac:dyDescent="0.3">
      <c r="A4672" t="s">
        <v>10149</v>
      </c>
      <c r="B4672" t="s">
        <v>41</v>
      </c>
      <c r="C4672">
        <v>7648876604</v>
      </c>
      <c r="D4672" s="2">
        <v>1</v>
      </c>
      <c r="E4672" t="str">
        <f>"4574674200870186"</f>
        <v>4574674200870186</v>
      </c>
      <c r="F4672" t="str">
        <f>"231"</f>
        <v>231</v>
      </c>
      <c r="G4672">
        <v>1</v>
      </c>
      <c r="H4672">
        <v>2023</v>
      </c>
      <c r="I4672" t="s">
        <v>4787</v>
      </c>
    </row>
    <row r="4673" spans="1:9" x14ac:dyDescent="0.3">
      <c r="A4673" t="s">
        <v>10149</v>
      </c>
      <c r="B4673" t="s">
        <v>41</v>
      </c>
      <c r="C4673">
        <v>7648876604</v>
      </c>
      <c r="D4673" s="2">
        <v>1</v>
      </c>
      <c r="E4673" t="str">
        <f>"4574674200870608"</f>
        <v>4574674200870608</v>
      </c>
      <c r="F4673" t="str">
        <f>"718"</f>
        <v>718</v>
      </c>
      <c r="G4673">
        <v>1</v>
      </c>
      <c r="H4673">
        <v>2023</v>
      </c>
      <c r="I4673" t="s">
        <v>4788</v>
      </c>
    </row>
    <row r="4674" spans="1:9" x14ac:dyDescent="0.3">
      <c r="A4674" t="s">
        <v>10149</v>
      </c>
      <c r="B4674" t="s">
        <v>41</v>
      </c>
      <c r="C4674">
        <v>7648876604</v>
      </c>
      <c r="D4674" s="2">
        <v>1</v>
      </c>
      <c r="E4674" t="str">
        <f>"4574674200870624"</f>
        <v>4574674200870624</v>
      </c>
      <c r="F4674" t="str">
        <f>"954"</f>
        <v>954</v>
      </c>
      <c r="G4674">
        <v>1</v>
      </c>
      <c r="H4674">
        <v>2023</v>
      </c>
      <c r="I4674" t="s">
        <v>4789</v>
      </c>
    </row>
    <row r="4675" spans="1:9" x14ac:dyDescent="0.3">
      <c r="A4675" t="s">
        <v>10149</v>
      </c>
      <c r="B4675" t="s">
        <v>41</v>
      </c>
      <c r="C4675">
        <v>7648876604</v>
      </c>
      <c r="D4675" s="2">
        <v>1</v>
      </c>
      <c r="E4675" t="str">
        <f>"4574674200870855"</f>
        <v>4574674200870855</v>
      </c>
      <c r="F4675" t="str">
        <f>"530"</f>
        <v>530</v>
      </c>
      <c r="G4675">
        <v>1</v>
      </c>
      <c r="H4675">
        <v>2023</v>
      </c>
      <c r="I4675" t="s">
        <v>4790</v>
      </c>
    </row>
    <row r="4676" spans="1:9" x14ac:dyDescent="0.3">
      <c r="A4676" t="s">
        <v>10149</v>
      </c>
      <c r="B4676" t="s">
        <v>41</v>
      </c>
      <c r="C4676">
        <v>7648876604</v>
      </c>
      <c r="D4676" s="2">
        <v>1</v>
      </c>
      <c r="E4676" t="str">
        <f>"4574674200870665"</f>
        <v>4574674200870665</v>
      </c>
      <c r="F4676" t="str">
        <f>"909"</f>
        <v>909</v>
      </c>
      <c r="G4676">
        <v>1</v>
      </c>
      <c r="H4676">
        <v>2023</v>
      </c>
      <c r="I4676" t="s">
        <v>4791</v>
      </c>
    </row>
    <row r="4677" spans="1:9" x14ac:dyDescent="0.3">
      <c r="A4677" t="s">
        <v>10149</v>
      </c>
      <c r="B4677" t="s">
        <v>41</v>
      </c>
      <c r="C4677">
        <v>7648876604</v>
      </c>
      <c r="D4677" s="2">
        <v>1</v>
      </c>
      <c r="E4677" t="str">
        <f>"4574674200870657"</f>
        <v>4574674200870657</v>
      </c>
      <c r="F4677" t="str">
        <f>"380"</f>
        <v>380</v>
      </c>
      <c r="G4677">
        <v>1</v>
      </c>
      <c r="H4677">
        <v>2023</v>
      </c>
      <c r="I4677" t="s">
        <v>4792</v>
      </c>
    </row>
    <row r="4678" spans="1:9" x14ac:dyDescent="0.3">
      <c r="A4678" t="s">
        <v>10149</v>
      </c>
      <c r="B4678" t="s">
        <v>41</v>
      </c>
      <c r="C4678">
        <v>7648876604</v>
      </c>
      <c r="D4678" s="2">
        <v>1</v>
      </c>
      <c r="E4678" t="str">
        <f>"4574674200870681"</f>
        <v>4574674200870681</v>
      </c>
      <c r="F4678" t="str">
        <f>"704"</f>
        <v>704</v>
      </c>
      <c r="G4678">
        <v>1</v>
      </c>
      <c r="H4678">
        <v>2023</v>
      </c>
      <c r="I4678" t="s">
        <v>4793</v>
      </c>
    </row>
    <row r="4679" spans="1:9" x14ac:dyDescent="0.3">
      <c r="A4679" t="s">
        <v>10150</v>
      </c>
      <c r="B4679" t="s">
        <v>42</v>
      </c>
      <c r="C4679">
        <v>7648876604</v>
      </c>
      <c r="D4679" s="2">
        <v>1</v>
      </c>
      <c r="E4679" t="str">
        <f>"4574674200870749"</f>
        <v>4574674200870749</v>
      </c>
      <c r="F4679" t="str">
        <f>"404"</f>
        <v>404</v>
      </c>
      <c r="G4679">
        <v>1</v>
      </c>
      <c r="H4679">
        <v>2023</v>
      </c>
      <c r="I4679" t="s">
        <v>4794</v>
      </c>
    </row>
    <row r="4680" spans="1:9" x14ac:dyDescent="0.3">
      <c r="A4680" t="s">
        <v>10150</v>
      </c>
      <c r="B4680" t="s">
        <v>42</v>
      </c>
      <c r="C4680">
        <v>7648876604</v>
      </c>
      <c r="D4680" s="2">
        <v>1</v>
      </c>
      <c r="E4680" t="str">
        <f>"4574674200870715"</f>
        <v>4574674200870715</v>
      </c>
      <c r="F4680" t="str">
        <f>"664"</f>
        <v>664</v>
      </c>
      <c r="G4680">
        <v>1</v>
      </c>
      <c r="H4680">
        <v>2023</v>
      </c>
      <c r="I4680" t="s">
        <v>4795</v>
      </c>
    </row>
    <row r="4681" spans="1:9" x14ac:dyDescent="0.3">
      <c r="A4681" t="s">
        <v>10150</v>
      </c>
      <c r="B4681" t="s">
        <v>42</v>
      </c>
      <c r="C4681">
        <v>7648876604</v>
      </c>
      <c r="D4681" s="2">
        <v>1</v>
      </c>
      <c r="E4681" t="str">
        <f>"4574674200870723"</f>
        <v>4574674200870723</v>
      </c>
      <c r="F4681" t="str">
        <f>"055"</f>
        <v>055</v>
      </c>
      <c r="G4681">
        <v>1</v>
      </c>
      <c r="H4681">
        <v>2023</v>
      </c>
      <c r="I4681" t="s">
        <v>4796</v>
      </c>
    </row>
    <row r="4682" spans="1:9" x14ac:dyDescent="0.3">
      <c r="A4682" t="s">
        <v>10150</v>
      </c>
      <c r="B4682" t="s">
        <v>42</v>
      </c>
      <c r="C4682">
        <v>7648876604</v>
      </c>
      <c r="D4682" s="2">
        <v>1</v>
      </c>
      <c r="E4682" t="str">
        <f>"4574674200871028"</f>
        <v>4574674200871028</v>
      </c>
      <c r="F4682" t="str">
        <f>"907"</f>
        <v>907</v>
      </c>
      <c r="G4682">
        <v>1</v>
      </c>
      <c r="H4682">
        <v>2023</v>
      </c>
      <c r="I4682" t="s">
        <v>4797</v>
      </c>
    </row>
    <row r="4683" spans="1:9" x14ac:dyDescent="0.3">
      <c r="A4683" t="s">
        <v>10150</v>
      </c>
      <c r="B4683" t="s">
        <v>42</v>
      </c>
      <c r="C4683">
        <v>7648876604</v>
      </c>
      <c r="D4683" s="2">
        <v>1</v>
      </c>
      <c r="E4683" t="str">
        <f>"4574674200870764"</f>
        <v>4574674200870764</v>
      </c>
      <c r="F4683" t="str">
        <f>"362"</f>
        <v>362</v>
      </c>
      <c r="G4683">
        <v>1</v>
      </c>
      <c r="H4683">
        <v>2023</v>
      </c>
      <c r="I4683" t="s">
        <v>4798</v>
      </c>
    </row>
    <row r="4684" spans="1:9" x14ac:dyDescent="0.3">
      <c r="A4684" t="s">
        <v>10150</v>
      </c>
      <c r="B4684" t="s">
        <v>42</v>
      </c>
      <c r="C4684">
        <v>7648876604</v>
      </c>
      <c r="D4684" s="2">
        <v>1</v>
      </c>
      <c r="E4684" t="str">
        <f>"4574674200870780"</f>
        <v>4574674200870780</v>
      </c>
      <c r="F4684" t="str">
        <f>"621"</f>
        <v>621</v>
      </c>
      <c r="G4684">
        <v>1</v>
      </c>
      <c r="H4684">
        <v>2023</v>
      </c>
      <c r="I4684" t="s">
        <v>4799</v>
      </c>
    </row>
    <row r="4685" spans="1:9" x14ac:dyDescent="0.3">
      <c r="A4685" t="s">
        <v>10150</v>
      </c>
      <c r="B4685" t="s">
        <v>42</v>
      </c>
      <c r="C4685">
        <v>7648876604</v>
      </c>
      <c r="D4685" s="2">
        <v>1</v>
      </c>
      <c r="E4685" t="str">
        <f>"4574674200870772"</f>
        <v>4574674200870772</v>
      </c>
      <c r="F4685" t="str">
        <f>"003"</f>
        <v>003</v>
      </c>
      <c r="G4685">
        <v>1</v>
      </c>
      <c r="H4685">
        <v>2023</v>
      </c>
      <c r="I4685" t="s">
        <v>4800</v>
      </c>
    </row>
    <row r="4686" spans="1:9" x14ac:dyDescent="0.3">
      <c r="A4686" t="s">
        <v>10150</v>
      </c>
      <c r="B4686" t="s">
        <v>42</v>
      </c>
      <c r="C4686">
        <v>7648876604</v>
      </c>
      <c r="D4686" s="2">
        <v>1</v>
      </c>
      <c r="E4686" t="str">
        <f>"4574674200871176"</f>
        <v>4574674200871176</v>
      </c>
      <c r="F4686" t="str">
        <f>"017"</f>
        <v>017</v>
      </c>
      <c r="G4686">
        <v>1</v>
      </c>
      <c r="H4686">
        <v>2023</v>
      </c>
      <c r="I4686" t="s">
        <v>4801</v>
      </c>
    </row>
    <row r="4687" spans="1:9" x14ac:dyDescent="0.3">
      <c r="A4687" t="s">
        <v>10150</v>
      </c>
      <c r="B4687" t="s">
        <v>42</v>
      </c>
      <c r="C4687">
        <v>7648876604</v>
      </c>
      <c r="D4687" s="2">
        <v>1</v>
      </c>
      <c r="E4687" t="str">
        <f>"4574674200871226"</f>
        <v>4574674200871226</v>
      </c>
      <c r="F4687" t="str">
        <f>"231"</f>
        <v>231</v>
      </c>
      <c r="G4687">
        <v>1</v>
      </c>
      <c r="H4687">
        <v>2023</v>
      </c>
      <c r="I4687" t="s">
        <v>4802</v>
      </c>
    </row>
    <row r="4688" spans="1:9" x14ac:dyDescent="0.3">
      <c r="A4688" t="s">
        <v>10150</v>
      </c>
      <c r="B4688" t="s">
        <v>42</v>
      </c>
      <c r="C4688">
        <v>7648876604</v>
      </c>
      <c r="D4688" s="2">
        <v>1</v>
      </c>
      <c r="E4688" t="str">
        <f>"4574674200871234"</f>
        <v>4574674200871234</v>
      </c>
      <c r="F4688" t="str">
        <f>"501"</f>
        <v>501</v>
      </c>
      <c r="G4688">
        <v>1</v>
      </c>
      <c r="H4688">
        <v>2023</v>
      </c>
      <c r="I4688" t="s">
        <v>4803</v>
      </c>
    </row>
    <row r="4689" spans="1:9" x14ac:dyDescent="0.3">
      <c r="A4689" t="s">
        <v>10151</v>
      </c>
      <c r="B4689" t="s">
        <v>43</v>
      </c>
      <c r="C4689">
        <v>7648876604</v>
      </c>
      <c r="D4689" s="2">
        <v>1</v>
      </c>
      <c r="E4689" t="str">
        <f>"4574674200871267"</f>
        <v>4574674200871267</v>
      </c>
      <c r="F4689" t="str">
        <f>"715"</f>
        <v>715</v>
      </c>
      <c r="G4689">
        <v>1</v>
      </c>
      <c r="H4689">
        <v>2023</v>
      </c>
      <c r="I4689" t="s">
        <v>4804</v>
      </c>
    </row>
    <row r="4690" spans="1:9" x14ac:dyDescent="0.3">
      <c r="A4690" t="s">
        <v>10151</v>
      </c>
      <c r="B4690" t="s">
        <v>43</v>
      </c>
      <c r="C4690">
        <v>7648876604</v>
      </c>
      <c r="D4690" s="2">
        <v>1</v>
      </c>
      <c r="E4690" t="str">
        <f>"4574674200871515"</f>
        <v>4574674200871515</v>
      </c>
      <c r="F4690" t="str">
        <f>"614"</f>
        <v>614</v>
      </c>
      <c r="G4690">
        <v>1</v>
      </c>
      <c r="H4690">
        <v>2023</v>
      </c>
      <c r="I4690" t="s">
        <v>4805</v>
      </c>
    </row>
    <row r="4691" spans="1:9" x14ac:dyDescent="0.3">
      <c r="A4691" t="s">
        <v>10151</v>
      </c>
      <c r="B4691" t="s">
        <v>43</v>
      </c>
      <c r="C4691">
        <v>7648876604</v>
      </c>
      <c r="D4691" s="2">
        <v>1</v>
      </c>
      <c r="E4691" t="str">
        <f>"4574674200871283"</f>
        <v>4574674200871283</v>
      </c>
      <c r="F4691" t="str">
        <f>"708"</f>
        <v>708</v>
      </c>
      <c r="G4691">
        <v>1</v>
      </c>
      <c r="H4691">
        <v>2023</v>
      </c>
      <c r="I4691" t="s">
        <v>4806</v>
      </c>
    </row>
    <row r="4692" spans="1:9" x14ac:dyDescent="0.3">
      <c r="A4692" t="s">
        <v>10151</v>
      </c>
      <c r="B4692" t="s">
        <v>43</v>
      </c>
      <c r="C4692">
        <v>7648876604</v>
      </c>
      <c r="D4692" s="2">
        <v>1</v>
      </c>
      <c r="E4692" t="str">
        <f>"4574674200871309"</f>
        <v>4574674200871309</v>
      </c>
      <c r="F4692" t="str">
        <f>"220"</f>
        <v>220</v>
      </c>
      <c r="G4692">
        <v>1</v>
      </c>
      <c r="H4692">
        <v>2023</v>
      </c>
      <c r="I4692" t="s">
        <v>4807</v>
      </c>
    </row>
    <row r="4693" spans="1:9" x14ac:dyDescent="0.3">
      <c r="A4693" t="s">
        <v>10151</v>
      </c>
      <c r="B4693" t="s">
        <v>43</v>
      </c>
      <c r="C4693">
        <v>7648876604</v>
      </c>
      <c r="D4693" s="2">
        <v>1</v>
      </c>
      <c r="E4693" t="str">
        <f>"4574674200871291"</f>
        <v>4574674200871291</v>
      </c>
      <c r="F4693" t="str">
        <f>"404"</f>
        <v>404</v>
      </c>
      <c r="G4693">
        <v>1</v>
      </c>
      <c r="H4693">
        <v>2023</v>
      </c>
      <c r="I4693" t="s">
        <v>4808</v>
      </c>
    </row>
    <row r="4694" spans="1:9" x14ac:dyDescent="0.3">
      <c r="A4694" t="s">
        <v>10151</v>
      </c>
      <c r="B4694" t="s">
        <v>43</v>
      </c>
      <c r="C4694">
        <v>7648876604</v>
      </c>
      <c r="D4694" s="2">
        <v>1</v>
      </c>
      <c r="E4694" t="str">
        <f>"4574674200871333"</f>
        <v>4574674200871333</v>
      </c>
      <c r="F4694" t="str">
        <f>"360"</f>
        <v>360</v>
      </c>
      <c r="G4694">
        <v>1</v>
      </c>
      <c r="H4694">
        <v>2023</v>
      </c>
      <c r="I4694" t="s">
        <v>4809</v>
      </c>
    </row>
    <row r="4695" spans="1:9" x14ac:dyDescent="0.3">
      <c r="A4695" t="s">
        <v>10151</v>
      </c>
      <c r="B4695" t="s">
        <v>43</v>
      </c>
      <c r="C4695">
        <v>7648876604</v>
      </c>
      <c r="D4695" s="2">
        <v>1</v>
      </c>
      <c r="E4695" t="str">
        <f>"4574674200871341"</f>
        <v>4574674200871341</v>
      </c>
      <c r="F4695" t="str">
        <f>"684"</f>
        <v>684</v>
      </c>
      <c r="G4695">
        <v>1</v>
      </c>
      <c r="H4695">
        <v>2023</v>
      </c>
      <c r="I4695" t="s">
        <v>4810</v>
      </c>
    </row>
    <row r="4696" spans="1:9" x14ac:dyDescent="0.3">
      <c r="A4696" t="s">
        <v>10151</v>
      </c>
      <c r="B4696" t="s">
        <v>43</v>
      </c>
      <c r="C4696">
        <v>7648876604</v>
      </c>
      <c r="D4696" s="2">
        <v>1</v>
      </c>
      <c r="E4696" t="str">
        <f>"4574674200871697"</f>
        <v>4574674200871697</v>
      </c>
      <c r="F4696" t="str">
        <f>"126"</f>
        <v>126</v>
      </c>
      <c r="G4696">
        <v>1</v>
      </c>
      <c r="H4696">
        <v>2023</v>
      </c>
      <c r="I4696" t="s">
        <v>4811</v>
      </c>
    </row>
    <row r="4697" spans="1:9" x14ac:dyDescent="0.3">
      <c r="A4697" t="s">
        <v>10151</v>
      </c>
      <c r="B4697" t="s">
        <v>43</v>
      </c>
      <c r="C4697">
        <v>7648876604</v>
      </c>
      <c r="D4697" s="2">
        <v>1</v>
      </c>
      <c r="E4697" t="str">
        <f>"4574674200871382"</f>
        <v>4574674200871382</v>
      </c>
      <c r="F4697" t="str">
        <f>"209"</f>
        <v>209</v>
      </c>
      <c r="G4697">
        <v>1</v>
      </c>
      <c r="H4697">
        <v>2023</v>
      </c>
      <c r="I4697" t="s">
        <v>4812</v>
      </c>
    </row>
    <row r="4698" spans="1:9" x14ac:dyDescent="0.3">
      <c r="A4698" t="s">
        <v>10151</v>
      </c>
      <c r="B4698" t="s">
        <v>43</v>
      </c>
      <c r="C4698">
        <v>7648876604</v>
      </c>
      <c r="D4698" s="2">
        <v>1</v>
      </c>
      <c r="E4698" t="str">
        <f>"4574674200871804"</f>
        <v>4574674200871804</v>
      </c>
      <c r="F4698" t="str">
        <f>"285"</f>
        <v>285</v>
      </c>
      <c r="G4698">
        <v>1</v>
      </c>
      <c r="H4698">
        <v>2023</v>
      </c>
      <c r="I4698" t="s">
        <v>4813</v>
      </c>
    </row>
    <row r="4699" spans="1:9" x14ac:dyDescent="0.3">
      <c r="A4699" t="s">
        <v>10152</v>
      </c>
      <c r="B4699" t="s">
        <v>44</v>
      </c>
      <c r="C4699">
        <v>7648876604</v>
      </c>
      <c r="D4699" s="2">
        <v>1</v>
      </c>
      <c r="E4699" t="str">
        <f>"4574674200871812"</f>
        <v>4574674200871812</v>
      </c>
      <c r="F4699" t="str">
        <f>"193"</f>
        <v>193</v>
      </c>
      <c r="G4699">
        <v>1</v>
      </c>
      <c r="H4699">
        <v>2023</v>
      </c>
      <c r="I4699" t="s">
        <v>4814</v>
      </c>
    </row>
    <row r="4700" spans="1:9" x14ac:dyDescent="0.3">
      <c r="A4700" t="s">
        <v>10152</v>
      </c>
      <c r="B4700" t="s">
        <v>44</v>
      </c>
      <c r="C4700">
        <v>7648876604</v>
      </c>
      <c r="D4700" s="2">
        <v>1</v>
      </c>
      <c r="E4700" t="str">
        <f>"4574674200871838"</f>
        <v>4574674200871838</v>
      </c>
      <c r="F4700" t="str">
        <f>"575"</f>
        <v>575</v>
      </c>
      <c r="G4700">
        <v>1</v>
      </c>
      <c r="H4700">
        <v>2023</v>
      </c>
      <c r="I4700" t="s">
        <v>4815</v>
      </c>
    </row>
    <row r="4701" spans="1:9" x14ac:dyDescent="0.3">
      <c r="A4701" t="s">
        <v>10152</v>
      </c>
      <c r="B4701" t="s">
        <v>44</v>
      </c>
      <c r="C4701">
        <v>7648876604</v>
      </c>
      <c r="D4701" s="2">
        <v>1</v>
      </c>
      <c r="E4701" t="str">
        <f>"4574674200872042"</f>
        <v>4574674200872042</v>
      </c>
      <c r="F4701" t="str">
        <f>"227"</f>
        <v>227</v>
      </c>
      <c r="G4701">
        <v>1</v>
      </c>
      <c r="H4701">
        <v>2023</v>
      </c>
      <c r="I4701" t="s">
        <v>4816</v>
      </c>
    </row>
    <row r="4702" spans="1:9" x14ac:dyDescent="0.3">
      <c r="A4702" t="s">
        <v>10152</v>
      </c>
      <c r="B4702" t="s">
        <v>44</v>
      </c>
      <c r="C4702">
        <v>7648876604</v>
      </c>
      <c r="D4702" s="2">
        <v>1</v>
      </c>
      <c r="E4702" t="str">
        <f>"4574674200871853"</f>
        <v>4574674200871853</v>
      </c>
      <c r="F4702" t="str">
        <f>"189"</f>
        <v>189</v>
      </c>
      <c r="G4702">
        <v>1</v>
      </c>
      <c r="H4702">
        <v>2023</v>
      </c>
      <c r="I4702" t="s">
        <v>4817</v>
      </c>
    </row>
    <row r="4703" spans="1:9" x14ac:dyDescent="0.3">
      <c r="A4703" t="s">
        <v>10152</v>
      </c>
      <c r="B4703" t="s">
        <v>44</v>
      </c>
      <c r="C4703">
        <v>7648876604</v>
      </c>
      <c r="D4703" s="2">
        <v>1</v>
      </c>
      <c r="E4703" t="str">
        <f>"4574674200871861"</f>
        <v>4574674200871861</v>
      </c>
      <c r="F4703" t="str">
        <f>"426"</f>
        <v>426</v>
      </c>
      <c r="G4703">
        <v>1</v>
      </c>
      <c r="H4703">
        <v>2023</v>
      </c>
      <c r="I4703" t="s">
        <v>4818</v>
      </c>
    </row>
    <row r="4704" spans="1:9" x14ac:dyDescent="0.3">
      <c r="A4704" t="s">
        <v>10152</v>
      </c>
      <c r="B4704" t="s">
        <v>44</v>
      </c>
      <c r="C4704">
        <v>7648876604</v>
      </c>
      <c r="D4704" s="2">
        <v>1</v>
      </c>
      <c r="E4704" t="str">
        <f>"4574674200871911"</f>
        <v>4574674200871911</v>
      </c>
      <c r="F4704" t="str">
        <f>"051"</f>
        <v>051</v>
      </c>
      <c r="G4704">
        <v>1</v>
      </c>
      <c r="H4704">
        <v>2023</v>
      </c>
      <c r="I4704" t="s">
        <v>4819</v>
      </c>
    </row>
    <row r="4705" spans="1:9" x14ac:dyDescent="0.3">
      <c r="A4705" t="s">
        <v>10152</v>
      </c>
      <c r="B4705" t="s">
        <v>44</v>
      </c>
      <c r="C4705">
        <v>7648876604</v>
      </c>
      <c r="D4705" s="2">
        <v>1</v>
      </c>
      <c r="E4705" t="str">
        <f>"4574674200871929"</f>
        <v>4574674200871929</v>
      </c>
      <c r="F4705" t="str">
        <f>"366"</f>
        <v>366</v>
      </c>
      <c r="G4705">
        <v>1</v>
      </c>
      <c r="H4705">
        <v>2023</v>
      </c>
      <c r="I4705" t="s">
        <v>4820</v>
      </c>
    </row>
    <row r="4706" spans="1:9" x14ac:dyDescent="0.3">
      <c r="A4706" t="s">
        <v>10152</v>
      </c>
      <c r="B4706" t="s">
        <v>44</v>
      </c>
      <c r="C4706">
        <v>7648876604</v>
      </c>
      <c r="D4706" s="2">
        <v>1</v>
      </c>
      <c r="E4706" t="str">
        <f>"4574674200872216"</f>
        <v>4574674200872216</v>
      </c>
      <c r="F4706" t="str">
        <f>"423"</f>
        <v>423</v>
      </c>
      <c r="G4706">
        <v>1</v>
      </c>
      <c r="H4706">
        <v>2023</v>
      </c>
      <c r="I4706" t="s">
        <v>4821</v>
      </c>
    </row>
    <row r="4707" spans="1:9" x14ac:dyDescent="0.3">
      <c r="A4707" t="s">
        <v>10152</v>
      </c>
      <c r="B4707" t="s">
        <v>44</v>
      </c>
      <c r="C4707">
        <v>7648876604</v>
      </c>
      <c r="D4707" s="2">
        <v>1</v>
      </c>
      <c r="E4707" t="str">
        <f>"4574674200871945"</f>
        <v>4574674200871945</v>
      </c>
      <c r="F4707" t="str">
        <f>"596"</f>
        <v>596</v>
      </c>
      <c r="G4707">
        <v>1</v>
      </c>
      <c r="H4707">
        <v>2023</v>
      </c>
      <c r="I4707" t="s">
        <v>4822</v>
      </c>
    </row>
    <row r="4708" spans="1:9" x14ac:dyDescent="0.3">
      <c r="A4708" t="s">
        <v>10152</v>
      </c>
      <c r="B4708" t="s">
        <v>44</v>
      </c>
      <c r="C4708">
        <v>7648876604</v>
      </c>
      <c r="D4708" s="2">
        <v>1</v>
      </c>
      <c r="E4708" t="str">
        <f>"4574674200871960"</f>
        <v>4574674200871960</v>
      </c>
      <c r="F4708" t="str">
        <f>"499"</f>
        <v>499</v>
      </c>
      <c r="G4708">
        <v>1</v>
      </c>
      <c r="H4708">
        <v>2023</v>
      </c>
      <c r="I4708" t="s">
        <v>4823</v>
      </c>
    </row>
    <row r="4709" spans="1:9" x14ac:dyDescent="0.3">
      <c r="A4709" t="s">
        <v>10162</v>
      </c>
      <c r="B4709" t="s">
        <v>54</v>
      </c>
      <c r="C4709">
        <v>8989697390</v>
      </c>
      <c r="D4709" s="2">
        <v>1</v>
      </c>
      <c r="E4709" t="str">
        <f>"4574674200871978"</f>
        <v>4574674200871978</v>
      </c>
      <c r="F4709" t="str">
        <f>"925"</f>
        <v>925</v>
      </c>
      <c r="G4709">
        <v>1</v>
      </c>
      <c r="H4709">
        <v>2023</v>
      </c>
      <c r="I4709" t="s">
        <v>4824</v>
      </c>
    </row>
    <row r="4710" spans="1:9" x14ac:dyDescent="0.3">
      <c r="A4710" t="s">
        <v>10162</v>
      </c>
      <c r="B4710" t="s">
        <v>54</v>
      </c>
      <c r="C4710">
        <v>8989697390</v>
      </c>
      <c r="D4710" s="2">
        <v>1</v>
      </c>
      <c r="E4710" t="str">
        <f>"4574674200872414"</f>
        <v>4574674200872414</v>
      </c>
      <c r="F4710" t="str">
        <f>"490"</f>
        <v>490</v>
      </c>
      <c r="G4710">
        <v>1</v>
      </c>
      <c r="H4710">
        <v>2023</v>
      </c>
      <c r="I4710" t="s">
        <v>4825</v>
      </c>
    </row>
    <row r="4711" spans="1:9" x14ac:dyDescent="0.3">
      <c r="A4711" t="s">
        <v>10162</v>
      </c>
      <c r="B4711" t="s">
        <v>54</v>
      </c>
      <c r="C4711">
        <v>8989697390</v>
      </c>
      <c r="D4711" s="2">
        <v>1</v>
      </c>
      <c r="E4711" t="str">
        <f>"4574674200872372"</f>
        <v>4574674200872372</v>
      </c>
      <c r="F4711" t="str">
        <f>"266"</f>
        <v>266</v>
      </c>
      <c r="G4711">
        <v>1</v>
      </c>
      <c r="H4711">
        <v>2023</v>
      </c>
      <c r="I4711" t="s">
        <v>4826</v>
      </c>
    </row>
    <row r="4712" spans="1:9" x14ac:dyDescent="0.3">
      <c r="A4712" t="s">
        <v>10162</v>
      </c>
      <c r="B4712" t="s">
        <v>54</v>
      </c>
      <c r="C4712">
        <v>8989697390</v>
      </c>
      <c r="D4712" s="2">
        <v>1</v>
      </c>
      <c r="E4712" t="str">
        <f>"4574674200872448"</f>
        <v>4574674200872448</v>
      </c>
      <c r="F4712" t="str">
        <f>"910"</f>
        <v>910</v>
      </c>
      <c r="G4712">
        <v>1</v>
      </c>
      <c r="H4712">
        <v>2023</v>
      </c>
      <c r="I4712" t="s">
        <v>4827</v>
      </c>
    </row>
    <row r="4713" spans="1:9" x14ac:dyDescent="0.3">
      <c r="A4713" t="s">
        <v>10162</v>
      </c>
      <c r="B4713" t="s">
        <v>54</v>
      </c>
      <c r="C4713">
        <v>8989697390</v>
      </c>
      <c r="D4713" s="2">
        <v>1</v>
      </c>
      <c r="E4713" t="str">
        <f>"4574674200872737"</f>
        <v>4574674200872737</v>
      </c>
      <c r="F4713" t="str">
        <f>"047"</f>
        <v>047</v>
      </c>
      <c r="G4713">
        <v>1</v>
      </c>
      <c r="H4713">
        <v>2023</v>
      </c>
      <c r="I4713" t="s">
        <v>4828</v>
      </c>
    </row>
    <row r="4714" spans="1:9" x14ac:dyDescent="0.3">
      <c r="A4714" t="s">
        <v>10162</v>
      </c>
      <c r="B4714" t="s">
        <v>54</v>
      </c>
      <c r="C4714">
        <v>8989697390</v>
      </c>
      <c r="D4714" s="2">
        <v>1</v>
      </c>
      <c r="E4714" t="str">
        <f>"4574674200872562"</f>
        <v>4574674200872562</v>
      </c>
      <c r="F4714" t="str">
        <f>"349"</f>
        <v>349</v>
      </c>
      <c r="G4714">
        <v>1</v>
      </c>
      <c r="H4714">
        <v>2023</v>
      </c>
      <c r="I4714" t="s">
        <v>4829</v>
      </c>
    </row>
    <row r="4715" spans="1:9" x14ac:dyDescent="0.3">
      <c r="A4715" t="s">
        <v>10162</v>
      </c>
      <c r="B4715" t="s">
        <v>54</v>
      </c>
      <c r="C4715">
        <v>8989697390</v>
      </c>
      <c r="D4715" s="2">
        <v>1</v>
      </c>
      <c r="E4715" t="str">
        <f>"4574674200872554"</f>
        <v>4574674200872554</v>
      </c>
      <c r="F4715" t="str">
        <f>"438"</f>
        <v>438</v>
      </c>
      <c r="G4715">
        <v>1</v>
      </c>
      <c r="H4715">
        <v>2023</v>
      </c>
      <c r="I4715" t="s">
        <v>4830</v>
      </c>
    </row>
    <row r="4716" spans="1:9" x14ac:dyDescent="0.3">
      <c r="A4716" t="s">
        <v>10162</v>
      </c>
      <c r="B4716" t="s">
        <v>54</v>
      </c>
      <c r="C4716">
        <v>8989697390</v>
      </c>
      <c r="D4716" s="2">
        <v>1</v>
      </c>
      <c r="E4716" t="str">
        <f>"4574674200872596"</f>
        <v>4574674200872596</v>
      </c>
      <c r="F4716" t="str">
        <f>"696"</f>
        <v>696</v>
      </c>
      <c r="G4716">
        <v>1</v>
      </c>
      <c r="H4716">
        <v>2023</v>
      </c>
      <c r="I4716" t="s">
        <v>4831</v>
      </c>
    </row>
    <row r="4717" spans="1:9" x14ac:dyDescent="0.3">
      <c r="A4717" t="s">
        <v>10162</v>
      </c>
      <c r="B4717" t="s">
        <v>54</v>
      </c>
      <c r="C4717">
        <v>8989697390</v>
      </c>
      <c r="D4717" s="2">
        <v>1</v>
      </c>
      <c r="E4717" t="str">
        <f>"4574674200872943"</f>
        <v>4574674200872943</v>
      </c>
      <c r="F4717" t="str">
        <f>"779"</f>
        <v>779</v>
      </c>
      <c r="G4717">
        <v>1</v>
      </c>
      <c r="H4717">
        <v>2023</v>
      </c>
      <c r="I4717" t="s">
        <v>4832</v>
      </c>
    </row>
    <row r="4718" spans="1:9" x14ac:dyDescent="0.3">
      <c r="A4718" t="s">
        <v>10162</v>
      </c>
      <c r="B4718" t="s">
        <v>54</v>
      </c>
      <c r="C4718">
        <v>8989697390</v>
      </c>
      <c r="D4718" s="2">
        <v>1</v>
      </c>
      <c r="E4718" t="str">
        <f>"4574674200873008"</f>
        <v>4574674200873008</v>
      </c>
      <c r="F4718" t="str">
        <f>"908"</f>
        <v>908</v>
      </c>
      <c r="G4718">
        <v>1</v>
      </c>
      <c r="H4718">
        <v>2023</v>
      </c>
      <c r="I4718" t="s">
        <v>4833</v>
      </c>
    </row>
    <row r="4719" spans="1:9" x14ac:dyDescent="0.3">
      <c r="A4719" t="s">
        <v>10140</v>
      </c>
      <c r="B4719" t="s">
        <v>55</v>
      </c>
      <c r="C4719">
        <v>8989697390</v>
      </c>
      <c r="D4719" s="2">
        <v>1</v>
      </c>
      <c r="E4719" t="str">
        <f>"4574674200873016"</f>
        <v>4574674200873016</v>
      </c>
      <c r="F4719" t="str">
        <f>"853"</f>
        <v>853</v>
      </c>
      <c r="G4719">
        <v>1</v>
      </c>
      <c r="H4719">
        <v>2023</v>
      </c>
      <c r="I4719" t="s">
        <v>4834</v>
      </c>
    </row>
    <row r="4720" spans="1:9" x14ac:dyDescent="0.3">
      <c r="A4720" t="s">
        <v>10140</v>
      </c>
      <c r="B4720" t="s">
        <v>55</v>
      </c>
      <c r="C4720">
        <v>8989697390</v>
      </c>
      <c r="D4720" s="2">
        <v>1</v>
      </c>
      <c r="E4720" t="str">
        <f>"4574674200873024"</f>
        <v>4574674200873024</v>
      </c>
      <c r="F4720" t="str">
        <f>"138"</f>
        <v>138</v>
      </c>
      <c r="G4720">
        <v>1</v>
      </c>
      <c r="H4720">
        <v>2023</v>
      </c>
      <c r="I4720" t="s">
        <v>4835</v>
      </c>
    </row>
    <row r="4721" spans="1:9" x14ac:dyDescent="0.3">
      <c r="A4721" t="s">
        <v>10140</v>
      </c>
      <c r="B4721" t="s">
        <v>55</v>
      </c>
      <c r="C4721">
        <v>8989697390</v>
      </c>
      <c r="D4721" s="2">
        <v>1</v>
      </c>
      <c r="E4721" t="str">
        <f>"4574674200873073"</f>
        <v>4574674200873073</v>
      </c>
      <c r="F4721" t="str">
        <f>"162"</f>
        <v>162</v>
      </c>
      <c r="G4721">
        <v>1</v>
      </c>
      <c r="H4721">
        <v>2023</v>
      </c>
      <c r="I4721" t="s">
        <v>4836</v>
      </c>
    </row>
    <row r="4722" spans="1:9" x14ac:dyDescent="0.3">
      <c r="A4722" t="s">
        <v>10140</v>
      </c>
      <c r="B4722" t="s">
        <v>55</v>
      </c>
      <c r="C4722">
        <v>8989697390</v>
      </c>
      <c r="D4722" s="2">
        <v>1</v>
      </c>
      <c r="E4722" t="str">
        <f>"4574674200873289"</f>
        <v>4574674200873289</v>
      </c>
      <c r="F4722" t="str">
        <f>"622"</f>
        <v>622</v>
      </c>
      <c r="G4722">
        <v>1</v>
      </c>
      <c r="H4722">
        <v>2023</v>
      </c>
      <c r="I4722" t="s">
        <v>4837</v>
      </c>
    </row>
    <row r="4723" spans="1:9" x14ac:dyDescent="0.3">
      <c r="A4723" t="s">
        <v>10140</v>
      </c>
      <c r="B4723" t="s">
        <v>55</v>
      </c>
      <c r="C4723">
        <v>8989697390</v>
      </c>
      <c r="D4723" s="2">
        <v>1</v>
      </c>
      <c r="E4723" t="str">
        <f>"4574674200873081"</f>
        <v>4574674200873081</v>
      </c>
      <c r="F4723" t="str">
        <f>"951"</f>
        <v>951</v>
      </c>
      <c r="G4723">
        <v>1</v>
      </c>
      <c r="H4723">
        <v>2023</v>
      </c>
      <c r="I4723" t="s">
        <v>4838</v>
      </c>
    </row>
    <row r="4724" spans="1:9" x14ac:dyDescent="0.3">
      <c r="A4724" t="s">
        <v>10140</v>
      </c>
      <c r="B4724" t="s">
        <v>55</v>
      </c>
      <c r="C4724">
        <v>8989697390</v>
      </c>
      <c r="D4724" s="2">
        <v>1</v>
      </c>
      <c r="E4724" t="str">
        <f>"4574674200873115"</f>
        <v>4574674200873115</v>
      </c>
      <c r="F4724" t="str">
        <f>"314"</f>
        <v>314</v>
      </c>
      <c r="G4724">
        <v>1</v>
      </c>
      <c r="H4724">
        <v>2023</v>
      </c>
      <c r="I4724" t="s">
        <v>4839</v>
      </c>
    </row>
    <row r="4725" spans="1:9" x14ac:dyDescent="0.3">
      <c r="A4725" t="s">
        <v>10140</v>
      </c>
      <c r="B4725" t="s">
        <v>55</v>
      </c>
      <c r="C4725">
        <v>8989697390</v>
      </c>
      <c r="D4725" s="2">
        <v>1</v>
      </c>
      <c r="E4725" t="str">
        <f>"4574674200873131"</f>
        <v>4574674200873131</v>
      </c>
      <c r="F4725" t="str">
        <f>"637"</f>
        <v>637</v>
      </c>
      <c r="G4725">
        <v>1</v>
      </c>
      <c r="H4725">
        <v>2023</v>
      </c>
      <c r="I4725" t="s">
        <v>4840</v>
      </c>
    </row>
    <row r="4726" spans="1:9" x14ac:dyDescent="0.3">
      <c r="A4726" t="s">
        <v>10140</v>
      </c>
      <c r="B4726" t="s">
        <v>55</v>
      </c>
      <c r="C4726">
        <v>8989697390</v>
      </c>
      <c r="D4726" s="2">
        <v>1</v>
      </c>
      <c r="E4726" t="str">
        <f>"4574674200873123"</f>
        <v>4574674200873123</v>
      </c>
      <c r="F4726" t="str">
        <f>"969"</f>
        <v>969</v>
      </c>
      <c r="G4726">
        <v>1</v>
      </c>
      <c r="H4726">
        <v>2023</v>
      </c>
      <c r="I4726" t="s">
        <v>4841</v>
      </c>
    </row>
    <row r="4727" spans="1:9" x14ac:dyDescent="0.3">
      <c r="A4727" t="s">
        <v>10140</v>
      </c>
      <c r="B4727" t="s">
        <v>55</v>
      </c>
      <c r="C4727">
        <v>8989697390</v>
      </c>
      <c r="D4727" s="2">
        <v>1</v>
      </c>
      <c r="E4727" t="str">
        <f>"4574674200873156"</f>
        <v>4574674200873156</v>
      </c>
      <c r="F4727" t="str">
        <f>"752"</f>
        <v>752</v>
      </c>
      <c r="G4727">
        <v>1</v>
      </c>
      <c r="H4727">
        <v>2023</v>
      </c>
      <c r="I4727" t="s">
        <v>4842</v>
      </c>
    </row>
    <row r="4728" spans="1:9" x14ac:dyDescent="0.3">
      <c r="A4728" t="s">
        <v>10140</v>
      </c>
      <c r="B4728" t="s">
        <v>55</v>
      </c>
      <c r="C4728">
        <v>8989697390</v>
      </c>
      <c r="D4728" s="2">
        <v>1</v>
      </c>
      <c r="E4728" t="str">
        <f>"4574674200873446"</f>
        <v>4574674200873446</v>
      </c>
      <c r="F4728" t="str">
        <f>"208"</f>
        <v>208</v>
      </c>
      <c r="G4728">
        <v>1</v>
      </c>
      <c r="H4728">
        <v>2023</v>
      </c>
      <c r="I4728" t="s">
        <v>4843</v>
      </c>
    </row>
    <row r="4729" spans="1:9" x14ac:dyDescent="0.3">
      <c r="A4729" t="s">
        <v>10133</v>
      </c>
      <c r="B4729" t="s">
        <v>56</v>
      </c>
      <c r="C4729">
        <v>8989697390</v>
      </c>
      <c r="D4729" s="2">
        <v>1</v>
      </c>
      <c r="E4729" t="str">
        <f>"4574674200873198"</f>
        <v>4574674200873198</v>
      </c>
      <c r="F4729" t="str">
        <f>"399"</f>
        <v>399</v>
      </c>
      <c r="G4729">
        <v>1</v>
      </c>
      <c r="H4729">
        <v>2023</v>
      </c>
      <c r="I4729" t="s">
        <v>4844</v>
      </c>
    </row>
    <row r="4730" spans="1:9" x14ac:dyDescent="0.3">
      <c r="A4730" t="s">
        <v>10133</v>
      </c>
      <c r="B4730" t="s">
        <v>56</v>
      </c>
      <c r="C4730">
        <v>8989697390</v>
      </c>
      <c r="D4730" s="2">
        <v>1</v>
      </c>
      <c r="E4730" t="str">
        <f>"4574674200873602"</f>
        <v>4574674200873602</v>
      </c>
      <c r="F4730" t="str">
        <f>"748"</f>
        <v>748</v>
      </c>
      <c r="G4730">
        <v>1</v>
      </c>
      <c r="H4730">
        <v>2023</v>
      </c>
      <c r="I4730" t="s">
        <v>4845</v>
      </c>
    </row>
    <row r="4731" spans="1:9" x14ac:dyDescent="0.3">
      <c r="A4731" t="s">
        <v>10133</v>
      </c>
      <c r="B4731" t="s">
        <v>56</v>
      </c>
      <c r="C4731">
        <v>8989697390</v>
      </c>
      <c r="D4731" s="2">
        <v>1</v>
      </c>
      <c r="E4731" t="str">
        <f>"4574674200873628"</f>
        <v>4574674200873628</v>
      </c>
      <c r="F4731" t="str">
        <f>"079"</f>
        <v>079</v>
      </c>
      <c r="G4731">
        <v>1</v>
      </c>
      <c r="H4731">
        <v>2023</v>
      </c>
      <c r="I4731" t="s">
        <v>4846</v>
      </c>
    </row>
    <row r="4732" spans="1:9" x14ac:dyDescent="0.3">
      <c r="A4732" t="s">
        <v>10133</v>
      </c>
      <c r="B4732" t="s">
        <v>56</v>
      </c>
      <c r="C4732">
        <v>8989697390</v>
      </c>
      <c r="D4732" s="2">
        <v>1</v>
      </c>
      <c r="E4732" t="str">
        <f>"4574674200873800"</f>
        <v>4574674200873800</v>
      </c>
      <c r="F4732" t="str">
        <f>"081"</f>
        <v>081</v>
      </c>
      <c r="G4732">
        <v>1</v>
      </c>
      <c r="H4732">
        <v>2023</v>
      </c>
      <c r="I4732" t="s">
        <v>4847</v>
      </c>
    </row>
    <row r="4733" spans="1:9" x14ac:dyDescent="0.3">
      <c r="A4733" t="s">
        <v>10133</v>
      </c>
      <c r="B4733" t="s">
        <v>56</v>
      </c>
      <c r="C4733">
        <v>8989697390</v>
      </c>
      <c r="D4733" s="2">
        <v>1</v>
      </c>
      <c r="E4733" t="str">
        <f>"4574674200873644"</f>
        <v>4574674200873644</v>
      </c>
      <c r="F4733" t="str">
        <f>"166"</f>
        <v>166</v>
      </c>
      <c r="G4733">
        <v>1</v>
      </c>
      <c r="H4733">
        <v>2023</v>
      </c>
      <c r="I4733" t="s">
        <v>4848</v>
      </c>
    </row>
    <row r="4734" spans="1:9" x14ac:dyDescent="0.3">
      <c r="A4734" t="s">
        <v>10133</v>
      </c>
      <c r="B4734" t="s">
        <v>56</v>
      </c>
      <c r="C4734">
        <v>8989697390</v>
      </c>
      <c r="D4734" s="2">
        <v>1</v>
      </c>
      <c r="E4734" t="str">
        <f>"4574674200873651"</f>
        <v>4574674200873651</v>
      </c>
      <c r="F4734" t="str">
        <f>"461"</f>
        <v>461</v>
      </c>
      <c r="G4734">
        <v>1</v>
      </c>
      <c r="H4734">
        <v>2023</v>
      </c>
      <c r="I4734" t="s">
        <v>4849</v>
      </c>
    </row>
    <row r="4735" spans="1:9" x14ac:dyDescent="0.3">
      <c r="A4735" t="s">
        <v>10133</v>
      </c>
      <c r="B4735" t="s">
        <v>56</v>
      </c>
      <c r="C4735">
        <v>8989697390</v>
      </c>
      <c r="D4735" s="2">
        <v>1</v>
      </c>
      <c r="E4735" t="str">
        <f>"4574674200873941"</f>
        <v>4574674200873941</v>
      </c>
      <c r="F4735" t="str">
        <f>"038"</f>
        <v>038</v>
      </c>
      <c r="G4735">
        <v>1</v>
      </c>
      <c r="H4735">
        <v>2023</v>
      </c>
      <c r="I4735" t="s">
        <v>4850</v>
      </c>
    </row>
    <row r="4736" spans="1:9" x14ac:dyDescent="0.3">
      <c r="A4736" t="s">
        <v>10133</v>
      </c>
      <c r="B4736" t="s">
        <v>56</v>
      </c>
      <c r="C4736">
        <v>8989697390</v>
      </c>
      <c r="D4736" s="2">
        <v>1</v>
      </c>
      <c r="E4736" t="str">
        <f>"4574674200873677"</f>
        <v>4574674200873677</v>
      </c>
      <c r="F4736" t="str">
        <f>"921"</f>
        <v>921</v>
      </c>
      <c r="G4736">
        <v>1</v>
      </c>
      <c r="H4736">
        <v>2023</v>
      </c>
      <c r="I4736" t="s">
        <v>4851</v>
      </c>
    </row>
    <row r="4737" spans="1:9" x14ac:dyDescent="0.3">
      <c r="A4737" t="s">
        <v>10133</v>
      </c>
      <c r="B4737" t="s">
        <v>56</v>
      </c>
      <c r="C4737">
        <v>8989697390</v>
      </c>
      <c r="D4737" s="2">
        <v>1</v>
      </c>
      <c r="E4737" t="str">
        <f>"4574674200873958"</f>
        <v>4574674200873958</v>
      </c>
      <c r="F4737" t="str">
        <f>"432"</f>
        <v>432</v>
      </c>
      <c r="G4737">
        <v>1</v>
      </c>
      <c r="H4737">
        <v>2023</v>
      </c>
      <c r="I4737" t="s">
        <v>4852</v>
      </c>
    </row>
    <row r="4738" spans="1:9" x14ac:dyDescent="0.3">
      <c r="A4738" t="s">
        <v>10133</v>
      </c>
      <c r="B4738" t="s">
        <v>56</v>
      </c>
      <c r="C4738">
        <v>8989697390</v>
      </c>
      <c r="D4738" s="2">
        <v>1</v>
      </c>
      <c r="E4738" t="str">
        <f>"4574674200873974"</f>
        <v>4574674200873974</v>
      </c>
      <c r="F4738" t="str">
        <f>"816"</f>
        <v>816</v>
      </c>
      <c r="G4738">
        <v>1</v>
      </c>
      <c r="H4738">
        <v>2023</v>
      </c>
      <c r="I4738" t="s">
        <v>4853</v>
      </c>
    </row>
    <row r="4739" spans="1:9" x14ac:dyDescent="0.3">
      <c r="A4739" t="s">
        <v>10163</v>
      </c>
      <c r="B4739" t="s">
        <v>57</v>
      </c>
      <c r="C4739">
        <v>8989697390</v>
      </c>
      <c r="D4739" s="2">
        <v>1</v>
      </c>
      <c r="E4739" t="str">
        <f>"4574674200873693"</f>
        <v>4574674200873693</v>
      </c>
      <c r="F4739" t="str">
        <f>"299"</f>
        <v>299</v>
      </c>
      <c r="G4739">
        <v>1</v>
      </c>
      <c r="H4739">
        <v>2023</v>
      </c>
      <c r="I4739" t="s">
        <v>4854</v>
      </c>
    </row>
    <row r="4740" spans="1:9" x14ac:dyDescent="0.3">
      <c r="A4740" t="s">
        <v>10163</v>
      </c>
      <c r="B4740" t="s">
        <v>57</v>
      </c>
      <c r="C4740">
        <v>8989697390</v>
      </c>
      <c r="D4740" s="2">
        <v>1</v>
      </c>
      <c r="E4740" t="str">
        <f>"4574674200873719"</f>
        <v>4574674200873719</v>
      </c>
      <c r="F4740" t="str">
        <f>"461"</f>
        <v>461</v>
      </c>
      <c r="G4740">
        <v>1</v>
      </c>
      <c r="H4740">
        <v>2023</v>
      </c>
      <c r="I4740" t="s">
        <v>4855</v>
      </c>
    </row>
    <row r="4741" spans="1:9" x14ac:dyDescent="0.3">
      <c r="A4741" t="s">
        <v>10163</v>
      </c>
      <c r="B4741" t="s">
        <v>57</v>
      </c>
      <c r="C4741">
        <v>8989697390</v>
      </c>
      <c r="D4741" s="2">
        <v>1</v>
      </c>
      <c r="E4741" t="str">
        <f>"4574674200874089"</f>
        <v>4574674200874089</v>
      </c>
      <c r="F4741" t="str">
        <f>"929"</f>
        <v>929</v>
      </c>
      <c r="G4741">
        <v>1</v>
      </c>
      <c r="H4741">
        <v>2023</v>
      </c>
      <c r="I4741" t="s">
        <v>4856</v>
      </c>
    </row>
    <row r="4742" spans="1:9" x14ac:dyDescent="0.3">
      <c r="A4742" t="s">
        <v>10163</v>
      </c>
      <c r="B4742" t="s">
        <v>57</v>
      </c>
      <c r="C4742">
        <v>8989697390</v>
      </c>
      <c r="D4742" s="2">
        <v>1</v>
      </c>
      <c r="E4742" t="str">
        <f>"4574674200874097"</f>
        <v>4574674200874097</v>
      </c>
      <c r="F4742" t="str">
        <f>"679"</f>
        <v>679</v>
      </c>
      <c r="G4742">
        <v>1</v>
      </c>
      <c r="H4742">
        <v>2023</v>
      </c>
      <c r="I4742" t="s">
        <v>4857</v>
      </c>
    </row>
    <row r="4743" spans="1:9" x14ac:dyDescent="0.3">
      <c r="A4743" t="s">
        <v>10163</v>
      </c>
      <c r="B4743" t="s">
        <v>57</v>
      </c>
      <c r="C4743">
        <v>8989697390</v>
      </c>
      <c r="D4743" s="2">
        <v>1</v>
      </c>
      <c r="E4743" t="str">
        <f>"4574674200874139"</f>
        <v>4574674200874139</v>
      </c>
      <c r="F4743" t="str">
        <f>"895"</f>
        <v>895</v>
      </c>
      <c r="G4743">
        <v>1</v>
      </c>
      <c r="H4743">
        <v>2023</v>
      </c>
      <c r="I4743" t="s">
        <v>4858</v>
      </c>
    </row>
    <row r="4744" spans="1:9" x14ac:dyDescent="0.3">
      <c r="A4744" t="s">
        <v>10163</v>
      </c>
      <c r="B4744" t="s">
        <v>57</v>
      </c>
      <c r="C4744">
        <v>8989697390</v>
      </c>
      <c r="D4744" s="2">
        <v>1</v>
      </c>
      <c r="E4744" t="str">
        <f>"4574674200874188"</f>
        <v>4574674200874188</v>
      </c>
      <c r="F4744" t="str">
        <f>"822"</f>
        <v>822</v>
      </c>
      <c r="G4744">
        <v>1</v>
      </c>
      <c r="H4744">
        <v>2023</v>
      </c>
      <c r="I4744" t="s">
        <v>4859</v>
      </c>
    </row>
    <row r="4745" spans="1:9" x14ac:dyDescent="0.3">
      <c r="A4745" t="s">
        <v>10163</v>
      </c>
      <c r="B4745" t="s">
        <v>57</v>
      </c>
      <c r="C4745">
        <v>8989697390</v>
      </c>
      <c r="D4745" s="2">
        <v>1</v>
      </c>
      <c r="E4745" t="str">
        <f>"4574674200873743"</f>
        <v>4574674200873743</v>
      </c>
      <c r="F4745" t="str">
        <f>"668"</f>
        <v>668</v>
      </c>
      <c r="G4745">
        <v>1</v>
      </c>
      <c r="H4745">
        <v>2023</v>
      </c>
      <c r="I4745" t="s">
        <v>4860</v>
      </c>
    </row>
    <row r="4746" spans="1:9" x14ac:dyDescent="0.3">
      <c r="A4746" t="s">
        <v>10163</v>
      </c>
      <c r="B4746" t="s">
        <v>57</v>
      </c>
      <c r="C4746">
        <v>8989697390</v>
      </c>
      <c r="D4746" s="2">
        <v>1</v>
      </c>
      <c r="E4746" t="str">
        <f>"4574674200874212"</f>
        <v>4574674200874212</v>
      </c>
      <c r="F4746" t="str">
        <f>"195"</f>
        <v>195</v>
      </c>
      <c r="G4746">
        <v>1</v>
      </c>
      <c r="H4746">
        <v>2023</v>
      </c>
      <c r="I4746" t="s">
        <v>4861</v>
      </c>
    </row>
    <row r="4747" spans="1:9" x14ac:dyDescent="0.3">
      <c r="A4747" t="s">
        <v>10163</v>
      </c>
      <c r="B4747" t="s">
        <v>57</v>
      </c>
      <c r="C4747">
        <v>8989697390</v>
      </c>
      <c r="D4747" s="2">
        <v>1</v>
      </c>
      <c r="E4747" t="str">
        <f>"4574674200874246"</f>
        <v>4574674200874246</v>
      </c>
      <c r="F4747" t="str">
        <f>"685"</f>
        <v>685</v>
      </c>
      <c r="G4747">
        <v>1</v>
      </c>
      <c r="H4747">
        <v>2023</v>
      </c>
      <c r="I4747" t="s">
        <v>4862</v>
      </c>
    </row>
    <row r="4748" spans="1:9" x14ac:dyDescent="0.3">
      <c r="A4748" t="s">
        <v>10163</v>
      </c>
      <c r="B4748" t="s">
        <v>57</v>
      </c>
      <c r="C4748">
        <v>8989697390</v>
      </c>
      <c r="D4748" s="2">
        <v>1</v>
      </c>
      <c r="E4748" t="str">
        <f>"4574674200874311"</f>
        <v>4574674200874311</v>
      </c>
      <c r="F4748" t="str">
        <f>"062"</f>
        <v>062</v>
      </c>
      <c r="G4748">
        <v>1</v>
      </c>
      <c r="H4748">
        <v>2023</v>
      </c>
      <c r="I4748" t="s">
        <v>4863</v>
      </c>
    </row>
    <row r="4749" spans="1:9" x14ac:dyDescent="0.3">
      <c r="A4749" t="s">
        <v>10164</v>
      </c>
      <c r="B4749" t="s">
        <v>58</v>
      </c>
      <c r="C4749">
        <v>8989697390</v>
      </c>
      <c r="D4749" s="2">
        <v>1</v>
      </c>
      <c r="E4749" t="str">
        <f>"4574674200874303"</f>
        <v>4574674200874303</v>
      </c>
      <c r="F4749" t="str">
        <f>"500"</f>
        <v>500</v>
      </c>
      <c r="G4749">
        <v>1</v>
      </c>
      <c r="H4749">
        <v>2023</v>
      </c>
      <c r="I4749" t="s">
        <v>4864</v>
      </c>
    </row>
    <row r="4750" spans="1:9" x14ac:dyDescent="0.3">
      <c r="A4750" t="s">
        <v>10164</v>
      </c>
      <c r="B4750" t="s">
        <v>58</v>
      </c>
      <c r="C4750">
        <v>8989697390</v>
      </c>
      <c r="D4750" s="2">
        <v>1</v>
      </c>
      <c r="E4750" t="str">
        <f>"4574674200874329"</f>
        <v>4574674200874329</v>
      </c>
      <c r="F4750" t="str">
        <f>"090"</f>
        <v>090</v>
      </c>
      <c r="G4750">
        <v>1</v>
      </c>
      <c r="H4750">
        <v>2023</v>
      </c>
      <c r="I4750" t="s">
        <v>4865</v>
      </c>
    </row>
    <row r="4751" spans="1:9" x14ac:dyDescent="0.3">
      <c r="A4751" t="s">
        <v>10164</v>
      </c>
      <c r="B4751" t="s">
        <v>58</v>
      </c>
      <c r="C4751">
        <v>8989697390</v>
      </c>
      <c r="D4751" s="2">
        <v>1</v>
      </c>
      <c r="E4751" t="str">
        <f>"4574674200873776"</f>
        <v>4574674200873776</v>
      </c>
      <c r="F4751" t="str">
        <f>"213"</f>
        <v>213</v>
      </c>
      <c r="G4751">
        <v>1</v>
      </c>
      <c r="H4751">
        <v>2023</v>
      </c>
      <c r="I4751" t="s">
        <v>4866</v>
      </c>
    </row>
    <row r="4752" spans="1:9" x14ac:dyDescent="0.3">
      <c r="A4752" t="s">
        <v>10164</v>
      </c>
      <c r="B4752" t="s">
        <v>58</v>
      </c>
      <c r="C4752">
        <v>8989697390</v>
      </c>
      <c r="D4752" s="2">
        <v>1</v>
      </c>
      <c r="E4752" t="str">
        <f>"4574674200874394"</f>
        <v>4574674200874394</v>
      </c>
      <c r="F4752" t="str">
        <f>"475"</f>
        <v>475</v>
      </c>
      <c r="G4752">
        <v>1</v>
      </c>
      <c r="H4752">
        <v>2023</v>
      </c>
      <c r="I4752" t="s">
        <v>4867</v>
      </c>
    </row>
    <row r="4753" spans="1:9" x14ac:dyDescent="0.3">
      <c r="A4753" t="s">
        <v>10164</v>
      </c>
      <c r="B4753" t="s">
        <v>58</v>
      </c>
      <c r="C4753">
        <v>8989697390</v>
      </c>
      <c r="D4753" s="2">
        <v>1</v>
      </c>
      <c r="E4753" t="str">
        <f>"4574674200874402"</f>
        <v>4574674200874402</v>
      </c>
      <c r="F4753" t="str">
        <f>"341"</f>
        <v>341</v>
      </c>
      <c r="G4753">
        <v>1</v>
      </c>
      <c r="H4753">
        <v>2023</v>
      </c>
      <c r="I4753" t="s">
        <v>4868</v>
      </c>
    </row>
    <row r="4754" spans="1:9" x14ac:dyDescent="0.3">
      <c r="A4754" t="s">
        <v>10164</v>
      </c>
      <c r="B4754" t="s">
        <v>58</v>
      </c>
      <c r="C4754">
        <v>8989697390</v>
      </c>
      <c r="D4754" s="2">
        <v>1</v>
      </c>
      <c r="E4754" t="str">
        <f>"4574674200874451"</f>
        <v>4574674200874451</v>
      </c>
      <c r="F4754" t="str">
        <f>"677"</f>
        <v>677</v>
      </c>
      <c r="G4754">
        <v>1</v>
      </c>
      <c r="H4754">
        <v>2023</v>
      </c>
      <c r="I4754" t="s">
        <v>4869</v>
      </c>
    </row>
    <row r="4755" spans="1:9" x14ac:dyDescent="0.3">
      <c r="A4755" t="s">
        <v>10164</v>
      </c>
      <c r="B4755" t="s">
        <v>58</v>
      </c>
      <c r="C4755">
        <v>8989697390</v>
      </c>
      <c r="D4755" s="2">
        <v>1</v>
      </c>
      <c r="E4755" t="str">
        <f>"4574674200874477"</f>
        <v>4574674200874477</v>
      </c>
      <c r="F4755" t="str">
        <f>"028"</f>
        <v>028</v>
      </c>
      <c r="G4755">
        <v>1</v>
      </c>
      <c r="H4755">
        <v>2023</v>
      </c>
      <c r="I4755" t="s">
        <v>4870</v>
      </c>
    </row>
    <row r="4756" spans="1:9" x14ac:dyDescent="0.3">
      <c r="A4756" t="s">
        <v>10164</v>
      </c>
      <c r="B4756" t="s">
        <v>58</v>
      </c>
      <c r="C4756">
        <v>8989697390</v>
      </c>
      <c r="D4756" s="2">
        <v>1</v>
      </c>
      <c r="E4756" t="str">
        <f>"4574674200874667"</f>
        <v>4574674200874667</v>
      </c>
      <c r="F4756" t="str">
        <f>"705"</f>
        <v>705</v>
      </c>
      <c r="G4756">
        <v>1</v>
      </c>
      <c r="H4756">
        <v>2023</v>
      </c>
      <c r="I4756" t="s">
        <v>4871</v>
      </c>
    </row>
    <row r="4757" spans="1:9" x14ac:dyDescent="0.3">
      <c r="A4757" t="s">
        <v>10164</v>
      </c>
      <c r="B4757" t="s">
        <v>58</v>
      </c>
      <c r="C4757">
        <v>8989697390</v>
      </c>
      <c r="D4757" s="2">
        <v>1</v>
      </c>
      <c r="E4757" t="str">
        <f>"4574674200874485"</f>
        <v>4574674200874485</v>
      </c>
      <c r="F4757" t="str">
        <f>"633"</f>
        <v>633</v>
      </c>
      <c r="G4757">
        <v>1</v>
      </c>
      <c r="H4757">
        <v>2023</v>
      </c>
      <c r="I4757" t="s">
        <v>4872</v>
      </c>
    </row>
    <row r="4758" spans="1:9" x14ac:dyDescent="0.3">
      <c r="A4758" t="s">
        <v>10164</v>
      </c>
      <c r="B4758" t="s">
        <v>58</v>
      </c>
      <c r="C4758">
        <v>8989697390</v>
      </c>
      <c r="D4758" s="2">
        <v>1</v>
      </c>
      <c r="E4758" t="str">
        <f>"4574674200874550"</f>
        <v>4574674200874550</v>
      </c>
      <c r="F4758" t="str">
        <f>"617"</f>
        <v>617</v>
      </c>
      <c r="G4758">
        <v>1</v>
      </c>
      <c r="H4758">
        <v>2023</v>
      </c>
      <c r="I4758" t="s">
        <v>4873</v>
      </c>
    </row>
    <row r="4759" spans="1:9" x14ac:dyDescent="0.3">
      <c r="A4759" t="s">
        <v>10165</v>
      </c>
      <c r="B4759" t="s">
        <v>59</v>
      </c>
      <c r="C4759">
        <v>8989697390</v>
      </c>
      <c r="D4759" s="2">
        <v>1</v>
      </c>
      <c r="E4759" t="str">
        <f>"4574674200874568"</f>
        <v>4574674200874568</v>
      </c>
      <c r="F4759" t="str">
        <f>"625"</f>
        <v>625</v>
      </c>
      <c r="G4759">
        <v>1</v>
      </c>
      <c r="H4759">
        <v>2023</v>
      </c>
      <c r="I4759" t="s">
        <v>4874</v>
      </c>
    </row>
    <row r="4760" spans="1:9" x14ac:dyDescent="0.3">
      <c r="A4760" t="s">
        <v>10165</v>
      </c>
      <c r="B4760" t="s">
        <v>59</v>
      </c>
      <c r="C4760">
        <v>8989697390</v>
      </c>
      <c r="D4760" s="2">
        <v>1</v>
      </c>
      <c r="E4760" t="str">
        <f>"4574674200874683"</f>
        <v>4574674200874683</v>
      </c>
      <c r="F4760" t="str">
        <f>"511"</f>
        <v>511</v>
      </c>
      <c r="G4760">
        <v>1</v>
      </c>
      <c r="H4760">
        <v>2023</v>
      </c>
      <c r="I4760" t="s">
        <v>4875</v>
      </c>
    </row>
    <row r="4761" spans="1:9" x14ac:dyDescent="0.3">
      <c r="A4761" t="s">
        <v>10165</v>
      </c>
      <c r="B4761" t="s">
        <v>59</v>
      </c>
      <c r="C4761">
        <v>8989697390</v>
      </c>
      <c r="D4761" s="2">
        <v>1</v>
      </c>
      <c r="E4761" t="str">
        <f>"4574674200874832"</f>
        <v>4574674200874832</v>
      </c>
      <c r="F4761" t="str">
        <f>"284"</f>
        <v>284</v>
      </c>
      <c r="G4761">
        <v>1</v>
      </c>
      <c r="H4761">
        <v>2023</v>
      </c>
      <c r="I4761" t="s">
        <v>4876</v>
      </c>
    </row>
    <row r="4762" spans="1:9" x14ac:dyDescent="0.3">
      <c r="A4762" t="s">
        <v>10165</v>
      </c>
      <c r="B4762" t="s">
        <v>59</v>
      </c>
      <c r="C4762">
        <v>8989697390</v>
      </c>
      <c r="D4762" s="2">
        <v>1</v>
      </c>
      <c r="E4762" t="str">
        <f>"4574674200874824"</f>
        <v>4574674200874824</v>
      </c>
      <c r="F4762" t="str">
        <f>"541"</f>
        <v>541</v>
      </c>
      <c r="G4762">
        <v>1</v>
      </c>
      <c r="H4762">
        <v>2023</v>
      </c>
      <c r="I4762" t="s">
        <v>4877</v>
      </c>
    </row>
    <row r="4763" spans="1:9" x14ac:dyDescent="0.3">
      <c r="A4763" t="s">
        <v>10165</v>
      </c>
      <c r="B4763" t="s">
        <v>59</v>
      </c>
      <c r="C4763">
        <v>8989697390</v>
      </c>
      <c r="D4763" s="2">
        <v>1</v>
      </c>
      <c r="E4763" t="str">
        <f>"4574674200874865"</f>
        <v>4574674200874865</v>
      </c>
      <c r="F4763" t="str">
        <f>"050"</f>
        <v>050</v>
      </c>
      <c r="G4763">
        <v>1</v>
      </c>
      <c r="H4763">
        <v>2023</v>
      </c>
      <c r="I4763" t="s">
        <v>4878</v>
      </c>
    </row>
    <row r="4764" spans="1:9" x14ac:dyDescent="0.3">
      <c r="A4764" t="s">
        <v>10165</v>
      </c>
      <c r="B4764" t="s">
        <v>59</v>
      </c>
      <c r="C4764">
        <v>8989697390</v>
      </c>
      <c r="D4764" s="2">
        <v>1</v>
      </c>
      <c r="E4764" t="str">
        <f>"4574674200874899"</f>
        <v>4574674200874899</v>
      </c>
      <c r="F4764" t="str">
        <f>"058"</f>
        <v>058</v>
      </c>
      <c r="G4764">
        <v>1</v>
      </c>
      <c r="H4764">
        <v>2023</v>
      </c>
      <c r="I4764" t="s">
        <v>4879</v>
      </c>
    </row>
    <row r="4765" spans="1:9" x14ac:dyDescent="0.3">
      <c r="A4765" t="s">
        <v>10165</v>
      </c>
      <c r="B4765" t="s">
        <v>59</v>
      </c>
      <c r="C4765">
        <v>8989697390</v>
      </c>
      <c r="D4765" s="2">
        <v>1</v>
      </c>
      <c r="E4765" t="str">
        <f>"4574674200874881"</f>
        <v>4574674200874881</v>
      </c>
      <c r="F4765" t="str">
        <f>"433"</f>
        <v>433</v>
      </c>
      <c r="G4765">
        <v>1</v>
      </c>
      <c r="H4765">
        <v>2023</v>
      </c>
      <c r="I4765" t="s">
        <v>4880</v>
      </c>
    </row>
    <row r="4766" spans="1:9" x14ac:dyDescent="0.3">
      <c r="A4766" t="s">
        <v>10165</v>
      </c>
      <c r="B4766" t="s">
        <v>59</v>
      </c>
      <c r="C4766">
        <v>8989697390</v>
      </c>
      <c r="D4766" s="2">
        <v>1</v>
      </c>
      <c r="E4766" t="str">
        <f>"4574674200874980"</f>
        <v>4574674200874980</v>
      </c>
      <c r="F4766" t="str">
        <f>"557"</f>
        <v>557</v>
      </c>
      <c r="G4766">
        <v>1</v>
      </c>
      <c r="H4766">
        <v>2023</v>
      </c>
      <c r="I4766" t="s">
        <v>4881</v>
      </c>
    </row>
    <row r="4767" spans="1:9" x14ac:dyDescent="0.3">
      <c r="A4767" t="s">
        <v>10165</v>
      </c>
      <c r="B4767" t="s">
        <v>59</v>
      </c>
      <c r="C4767">
        <v>8989697390</v>
      </c>
      <c r="D4767" s="2">
        <v>1</v>
      </c>
      <c r="E4767" t="str">
        <f>"4574674200874782"</f>
        <v>4574674200874782</v>
      </c>
      <c r="F4767" t="str">
        <f>"519"</f>
        <v>519</v>
      </c>
      <c r="G4767">
        <v>1</v>
      </c>
      <c r="H4767">
        <v>2023</v>
      </c>
      <c r="I4767" t="s">
        <v>4882</v>
      </c>
    </row>
    <row r="4768" spans="1:9" x14ac:dyDescent="0.3">
      <c r="A4768" t="s">
        <v>10165</v>
      </c>
      <c r="B4768" t="s">
        <v>59</v>
      </c>
      <c r="C4768">
        <v>8989697390</v>
      </c>
      <c r="D4768" s="2">
        <v>1</v>
      </c>
      <c r="E4768" t="str">
        <f>"4574674200874998"</f>
        <v>4574674200874998</v>
      </c>
      <c r="F4768" t="str">
        <f>"141"</f>
        <v>141</v>
      </c>
      <c r="G4768">
        <v>1</v>
      </c>
      <c r="H4768">
        <v>2023</v>
      </c>
      <c r="I4768" t="s">
        <v>4883</v>
      </c>
    </row>
    <row r="4769" spans="1:9" x14ac:dyDescent="0.3">
      <c r="A4769" t="s">
        <v>10166</v>
      </c>
      <c r="B4769" t="s">
        <v>60</v>
      </c>
      <c r="C4769">
        <v>8989697390</v>
      </c>
      <c r="D4769" s="2">
        <v>1</v>
      </c>
      <c r="E4769" t="str">
        <f>"4574674200875029"</f>
        <v>4574674200875029</v>
      </c>
      <c r="F4769" t="str">
        <f>"373"</f>
        <v>373</v>
      </c>
      <c r="G4769">
        <v>1</v>
      </c>
      <c r="H4769">
        <v>2023</v>
      </c>
      <c r="I4769" t="s">
        <v>4884</v>
      </c>
    </row>
    <row r="4770" spans="1:9" x14ac:dyDescent="0.3">
      <c r="A4770" t="s">
        <v>10166</v>
      </c>
      <c r="B4770" t="s">
        <v>60</v>
      </c>
      <c r="C4770">
        <v>8989697390</v>
      </c>
      <c r="D4770" s="2">
        <v>1</v>
      </c>
      <c r="E4770" t="str">
        <f>"4574674200875219"</f>
        <v>4574674200875219</v>
      </c>
      <c r="F4770" t="str">
        <f>"854"</f>
        <v>854</v>
      </c>
      <c r="G4770">
        <v>1</v>
      </c>
      <c r="H4770">
        <v>2023</v>
      </c>
      <c r="I4770" t="s">
        <v>4885</v>
      </c>
    </row>
    <row r="4771" spans="1:9" x14ac:dyDescent="0.3">
      <c r="A4771" t="s">
        <v>10166</v>
      </c>
      <c r="B4771" t="s">
        <v>60</v>
      </c>
      <c r="C4771">
        <v>8989697390</v>
      </c>
      <c r="D4771" s="2">
        <v>1</v>
      </c>
      <c r="E4771" t="str">
        <f>"4574674200875243"</f>
        <v>4574674200875243</v>
      </c>
      <c r="F4771" t="str">
        <f>"651"</f>
        <v>651</v>
      </c>
      <c r="G4771">
        <v>1</v>
      </c>
      <c r="H4771">
        <v>2023</v>
      </c>
      <c r="I4771" t="s">
        <v>4886</v>
      </c>
    </row>
    <row r="4772" spans="1:9" x14ac:dyDescent="0.3">
      <c r="A4772" t="s">
        <v>10166</v>
      </c>
      <c r="B4772" t="s">
        <v>60</v>
      </c>
      <c r="C4772">
        <v>8989697390</v>
      </c>
      <c r="D4772" s="2">
        <v>1</v>
      </c>
      <c r="E4772" t="str">
        <f>"4574674200875284"</f>
        <v>4574674200875284</v>
      </c>
      <c r="F4772" t="str">
        <f>"415"</f>
        <v>415</v>
      </c>
      <c r="G4772">
        <v>1</v>
      </c>
      <c r="H4772">
        <v>2023</v>
      </c>
      <c r="I4772" t="s">
        <v>4887</v>
      </c>
    </row>
    <row r="4773" spans="1:9" x14ac:dyDescent="0.3">
      <c r="A4773" t="s">
        <v>10166</v>
      </c>
      <c r="B4773" t="s">
        <v>60</v>
      </c>
      <c r="C4773">
        <v>8989697390</v>
      </c>
      <c r="D4773" s="2">
        <v>1</v>
      </c>
      <c r="E4773" t="str">
        <f>"4574674200875342"</f>
        <v>4574674200875342</v>
      </c>
      <c r="F4773" t="str">
        <f>"834"</f>
        <v>834</v>
      </c>
      <c r="G4773">
        <v>1</v>
      </c>
      <c r="H4773">
        <v>2023</v>
      </c>
      <c r="I4773" t="s">
        <v>4888</v>
      </c>
    </row>
    <row r="4774" spans="1:9" x14ac:dyDescent="0.3">
      <c r="A4774" t="s">
        <v>10166</v>
      </c>
      <c r="B4774" t="s">
        <v>60</v>
      </c>
      <c r="C4774">
        <v>8989697390</v>
      </c>
      <c r="D4774" s="2">
        <v>1</v>
      </c>
      <c r="E4774" t="str">
        <f>"4574674200875359"</f>
        <v>4574674200875359</v>
      </c>
      <c r="F4774" t="str">
        <f>"145"</f>
        <v>145</v>
      </c>
      <c r="G4774">
        <v>1</v>
      </c>
      <c r="H4774">
        <v>2023</v>
      </c>
      <c r="I4774" t="s">
        <v>4889</v>
      </c>
    </row>
    <row r="4775" spans="1:9" x14ac:dyDescent="0.3">
      <c r="A4775" t="s">
        <v>10166</v>
      </c>
      <c r="B4775" t="s">
        <v>60</v>
      </c>
      <c r="C4775">
        <v>8989697390</v>
      </c>
      <c r="D4775" s="2">
        <v>1</v>
      </c>
      <c r="E4775" t="str">
        <f>"4574674200875102"</f>
        <v>4574674200875102</v>
      </c>
      <c r="F4775" t="str">
        <f>"862"</f>
        <v>862</v>
      </c>
      <c r="G4775">
        <v>1</v>
      </c>
      <c r="H4775">
        <v>2023</v>
      </c>
      <c r="I4775" t="s">
        <v>4890</v>
      </c>
    </row>
    <row r="4776" spans="1:9" x14ac:dyDescent="0.3">
      <c r="A4776" t="s">
        <v>10166</v>
      </c>
      <c r="B4776" t="s">
        <v>60</v>
      </c>
      <c r="C4776">
        <v>8989697390</v>
      </c>
      <c r="D4776" s="2">
        <v>1</v>
      </c>
      <c r="E4776" t="str">
        <f>"4574674200875151"</f>
        <v>4574674200875151</v>
      </c>
      <c r="F4776" t="str">
        <f>"927"</f>
        <v>927</v>
      </c>
      <c r="G4776">
        <v>1</v>
      </c>
      <c r="H4776">
        <v>2023</v>
      </c>
      <c r="I4776" t="s">
        <v>4891</v>
      </c>
    </row>
    <row r="4777" spans="1:9" x14ac:dyDescent="0.3">
      <c r="A4777" t="s">
        <v>10166</v>
      </c>
      <c r="B4777" t="s">
        <v>60</v>
      </c>
      <c r="C4777">
        <v>8989697390</v>
      </c>
      <c r="D4777" s="2">
        <v>1</v>
      </c>
      <c r="E4777" t="str">
        <f>"4574674200875367"</f>
        <v>4574674200875367</v>
      </c>
      <c r="F4777" t="str">
        <f>"437"</f>
        <v>437</v>
      </c>
      <c r="G4777">
        <v>1</v>
      </c>
      <c r="H4777">
        <v>2023</v>
      </c>
      <c r="I4777" t="s">
        <v>4892</v>
      </c>
    </row>
    <row r="4778" spans="1:9" x14ac:dyDescent="0.3">
      <c r="A4778" t="s">
        <v>10166</v>
      </c>
      <c r="B4778" t="s">
        <v>60</v>
      </c>
      <c r="C4778">
        <v>8989697390</v>
      </c>
      <c r="D4778" s="2">
        <v>1</v>
      </c>
      <c r="E4778" t="str">
        <f>"4574674200875383"</f>
        <v>4574674200875383</v>
      </c>
      <c r="F4778" t="str">
        <f>"184"</f>
        <v>184</v>
      </c>
      <c r="G4778">
        <v>1</v>
      </c>
      <c r="H4778">
        <v>2023</v>
      </c>
      <c r="I4778" t="s">
        <v>4893</v>
      </c>
    </row>
    <row r="4779" spans="1:9" x14ac:dyDescent="0.3">
      <c r="A4779" t="s">
        <v>10146</v>
      </c>
      <c r="B4779" t="s">
        <v>61</v>
      </c>
      <c r="C4779">
        <v>8989697390</v>
      </c>
      <c r="D4779" s="2">
        <v>1</v>
      </c>
      <c r="E4779" t="str">
        <f>"4574674200875458"</f>
        <v>4574674200875458</v>
      </c>
      <c r="F4779" t="str">
        <f>"306"</f>
        <v>306</v>
      </c>
      <c r="G4779">
        <v>1</v>
      </c>
      <c r="H4779">
        <v>2023</v>
      </c>
      <c r="I4779" t="s">
        <v>4894</v>
      </c>
    </row>
    <row r="4780" spans="1:9" x14ac:dyDescent="0.3">
      <c r="A4780" t="s">
        <v>10146</v>
      </c>
      <c r="B4780" t="s">
        <v>61</v>
      </c>
      <c r="C4780">
        <v>8989697390</v>
      </c>
      <c r="D4780" s="2">
        <v>1</v>
      </c>
      <c r="E4780" t="str">
        <f>"4574674200875508"</f>
        <v>4574674200875508</v>
      </c>
      <c r="F4780" t="str">
        <f>"097"</f>
        <v>097</v>
      </c>
      <c r="G4780">
        <v>1</v>
      </c>
      <c r="H4780">
        <v>2023</v>
      </c>
      <c r="I4780" t="s">
        <v>4895</v>
      </c>
    </row>
    <row r="4781" spans="1:9" x14ac:dyDescent="0.3">
      <c r="A4781" t="s">
        <v>10146</v>
      </c>
      <c r="B4781" t="s">
        <v>61</v>
      </c>
      <c r="C4781">
        <v>8989697390</v>
      </c>
      <c r="D4781" s="2">
        <v>1</v>
      </c>
      <c r="E4781" t="str">
        <f>"4574674200875516"</f>
        <v>4574674200875516</v>
      </c>
      <c r="F4781" t="str">
        <f>"162"</f>
        <v>162</v>
      </c>
      <c r="G4781">
        <v>1</v>
      </c>
      <c r="H4781">
        <v>2023</v>
      </c>
      <c r="I4781" t="s">
        <v>4896</v>
      </c>
    </row>
    <row r="4782" spans="1:9" x14ac:dyDescent="0.3">
      <c r="A4782" t="s">
        <v>10146</v>
      </c>
      <c r="B4782" t="s">
        <v>61</v>
      </c>
      <c r="C4782">
        <v>8989697390</v>
      </c>
      <c r="D4782" s="2">
        <v>1</v>
      </c>
      <c r="E4782" t="str">
        <f>"4574674200875573"</f>
        <v>4574674200875573</v>
      </c>
      <c r="F4782" t="str">
        <f>"456"</f>
        <v>456</v>
      </c>
      <c r="G4782">
        <v>1</v>
      </c>
      <c r="H4782">
        <v>2023</v>
      </c>
      <c r="I4782" t="s">
        <v>4897</v>
      </c>
    </row>
    <row r="4783" spans="1:9" x14ac:dyDescent="0.3">
      <c r="A4783" t="s">
        <v>10146</v>
      </c>
      <c r="B4783" t="s">
        <v>61</v>
      </c>
      <c r="C4783">
        <v>8989697390</v>
      </c>
      <c r="D4783" s="2">
        <v>1</v>
      </c>
      <c r="E4783" t="str">
        <f>"4574674200875532"</f>
        <v>4574674200875532</v>
      </c>
      <c r="F4783" t="str">
        <f>"523"</f>
        <v>523</v>
      </c>
      <c r="G4783">
        <v>1</v>
      </c>
      <c r="H4783">
        <v>2023</v>
      </c>
      <c r="I4783" t="s">
        <v>4898</v>
      </c>
    </row>
    <row r="4784" spans="1:9" x14ac:dyDescent="0.3">
      <c r="A4784" t="s">
        <v>10146</v>
      </c>
      <c r="B4784" t="s">
        <v>61</v>
      </c>
      <c r="C4784">
        <v>8989697390</v>
      </c>
      <c r="D4784" s="2">
        <v>1</v>
      </c>
      <c r="E4784" t="str">
        <f>"4574674200875649"</f>
        <v>4574674200875649</v>
      </c>
      <c r="F4784" t="str">
        <f>"183"</f>
        <v>183</v>
      </c>
      <c r="G4784">
        <v>1</v>
      </c>
      <c r="H4784">
        <v>2023</v>
      </c>
      <c r="I4784" t="s">
        <v>4899</v>
      </c>
    </row>
    <row r="4785" spans="1:9" x14ac:dyDescent="0.3">
      <c r="A4785" t="s">
        <v>10146</v>
      </c>
      <c r="B4785" t="s">
        <v>61</v>
      </c>
      <c r="C4785">
        <v>8989697390</v>
      </c>
      <c r="D4785" s="2">
        <v>1</v>
      </c>
      <c r="E4785" t="str">
        <f>"4574674200875805"</f>
        <v>4574674200875805</v>
      </c>
      <c r="F4785" t="str">
        <f>"035"</f>
        <v>035</v>
      </c>
      <c r="G4785">
        <v>1</v>
      </c>
      <c r="H4785">
        <v>2023</v>
      </c>
      <c r="I4785" t="s">
        <v>4900</v>
      </c>
    </row>
    <row r="4786" spans="1:9" x14ac:dyDescent="0.3">
      <c r="A4786" t="s">
        <v>10146</v>
      </c>
      <c r="B4786" t="s">
        <v>61</v>
      </c>
      <c r="C4786">
        <v>8989697390</v>
      </c>
      <c r="D4786" s="2">
        <v>1</v>
      </c>
      <c r="E4786" t="str">
        <f>"4574674200875862"</f>
        <v>4574674200875862</v>
      </c>
      <c r="F4786" t="str">
        <f>"848"</f>
        <v>848</v>
      </c>
      <c r="G4786">
        <v>1</v>
      </c>
      <c r="H4786">
        <v>2023</v>
      </c>
      <c r="I4786" t="s">
        <v>4901</v>
      </c>
    </row>
    <row r="4787" spans="1:9" x14ac:dyDescent="0.3">
      <c r="A4787" t="s">
        <v>10146</v>
      </c>
      <c r="B4787" t="s">
        <v>61</v>
      </c>
      <c r="C4787">
        <v>8989697390</v>
      </c>
      <c r="D4787" s="2">
        <v>1</v>
      </c>
      <c r="E4787" t="str">
        <f>"4574674200875672"</f>
        <v>4574674200875672</v>
      </c>
      <c r="F4787" t="str">
        <f>"150"</f>
        <v>150</v>
      </c>
      <c r="G4787">
        <v>1</v>
      </c>
      <c r="H4787">
        <v>2023</v>
      </c>
      <c r="I4787" t="s">
        <v>4902</v>
      </c>
    </row>
    <row r="4788" spans="1:9" x14ac:dyDescent="0.3">
      <c r="A4788" t="s">
        <v>10146</v>
      </c>
      <c r="B4788" t="s">
        <v>61</v>
      </c>
      <c r="C4788">
        <v>8989697390</v>
      </c>
      <c r="D4788" s="2">
        <v>1</v>
      </c>
      <c r="E4788" t="str">
        <f>"4574674200875870"</f>
        <v>4574674200875870</v>
      </c>
      <c r="F4788" t="str">
        <f>"883"</f>
        <v>883</v>
      </c>
      <c r="G4788">
        <v>1</v>
      </c>
      <c r="H4788">
        <v>2023</v>
      </c>
      <c r="I4788" t="s">
        <v>4903</v>
      </c>
    </row>
    <row r="4789" spans="1:9" x14ac:dyDescent="0.3">
      <c r="A4789" t="s">
        <v>10147</v>
      </c>
      <c r="B4789" t="s">
        <v>62</v>
      </c>
      <c r="C4789">
        <v>8989697390</v>
      </c>
      <c r="D4789" s="2">
        <v>1</v>
      </c>
      <c r="E4789" t="str">
        <f>"4574674200875920"</f>
        <v>4574674200875920</v>
      </c>
      <c r="F4789" t="str">
        <f>"078"</f>
        <v>078</v>
      </c>
      <c r="G4789">
        <v>1</v>
      </c>
      <c r="H4789">
        <v>2023</v>
      </c>
      <c r="I4789" t="s">
        <v>4904</v>
      </c>
    </row>
    <row r="4790" spans="1:9" x14ac:dyDescent="0.3">
      <c r="A4790" t="s">
        <v>10147</v>
      </c>
      <c r="B4790" t="s">
        <v>62</v>
      </c>
      <c r="C4790">
        <v>8989697390</v>
      </c>
      <c r="D4790" s="2">
        <v>1</v>
      </c>
      <c r="E4790" t="str">
        <f>"4574674200875938"</f>
        <v>4574674200875938</v>
      </c>
      <c r="F4790" t="str">
        <f>"258"</f>
        <v>258</v>
      </c>
      <c r="G4790">
        <v>1</v>
      </c>
      <c r="H4790">
        <v>2023</v>
      </c>
      <c r="I4790" t="s">
        <v>4905</v>
      </c>
    </row>
    <row r="4791" spans="1:9" x14ac:dyDescent="0.3">
      <c r="A4791" t="s">
        <v>10147</v>
      </c>
      <c r="B4791" t="s">
        <v>62</v>
      </c>
      <c r="C4791">
        <v>8989697390</v>
      </c>
      <c r="D4791" s="2">
        <v>1</v>
      </c>
      <c r="E4791" t="str">
        <f>"4574674200875979"</f>
        <v>4574674200875979</v>
      </c>
      <c r="F4791" t="str">
        <f>"231"</f>
        <v>231</v>
      </c>
      <c r="G4791">
        <v>1</v>
      </c>
      <c r="H4791">
        <v>2023</v>
      </c>
      <c r="I4791" t="s">
        <v>4906</v>
      </c>
    </row>
    <row r="4792" spans="1:9" x14ac:dyDescent="0.3">
      <c r="A4792" t="s">
        <v>10147</v>
      </c>
      <c r="B4792" t="s">
        <v>62</v>
      </c>
      <c r="C4792">
        <v>8989697390</v>
      </c>
      <c r="D4792" s="2">
        <v>1</v>
      </c>
      <c r="E4792" t="str">
        <f>"4574674200876027"</f>
        <v>4574674200876027</v>
      </c>
      <c r="F4792" t="str">
        <f>"105"</f>
        <v>105</v>
      </c>
      <c r="G4792">
        <v>1</v>
      </c>
      <c r="H4792">
        <v>2023</v>
      </c>
      <c r="I4792" t="s">
        <v>4907</v>
      </c>
    </row>
    <row r="4793" spans="1:9" x14ac:dyDescent="0.3">
      <c r="A4793" t="s">
        <v>10147</v>
      </c>
      <c r="B4793" t="s">
        <v>62</v>
      </c>
      <c r="C4793">
        <v>8989697390</v>
      </c>
      <c r="D4793" s="2">
        <v>1</v>
      </c>
      <c r="E4793" t="str">
        <f>"4574674200876035"</f>
        <v>4574674200876035</v>
      </c>
      <c r="F4793" t="str">
        <f>"956"</f>
        <v>956</v>
      </c>
      <c r="G4793">
        <v>1</v>
      </c>
      <c r="H4793">
        <v>2023</v>
      </c>
      <c r="I4793" t="s">
        <v>4908</v>
      </c>
    </row>
    <row r="4794" spans="1:9" x14ac:dyDescent="0.3">
      <c r="A4794" t="s">
        <v>10147</v>
      </c>
      <c r="B4794" t="s">
        <v>62</v>
      </c>
      <c r="C4794">
        <v>8989697390</v>
      </c>
      <c r="D4794" s="2">
        <v>1</v>
      </c>
      <c r="E4794" t="str">
        <f>"4574674200875771"</f>
        <v>4574674200875771</v>
      </c>
      <c r="F4794" t="str">
        <f>"681"</f>
        <v>681</v>
      </c>
      <c r="G4794">
        <v>1</v>
      </c>
      <c r="H4794">
        <v>2023</v>
      </c>
      <c r="I4794" t="s">
        <v>4909</v>
      </c>
    </row>
    <row r="4795" spans="1:9" x14ac:dyDescent="0.3">
      <c r="A4795" t="s">
        <v>10147</v>
      </c>
      <c r="B4795" t="s">
        <v>62</v>
      </c>
      <c r="C4795">
        <v>8989697390</v>
      </c>
      <c r="D4795" s="2">
        <v>1</v>
      </c>
      <c r="E4795" t="str">
        <f>"4574674200875797"</f>
        <v>4574674200875797</v>
      </c>
      <c r="F4795" t="str">
        <f>"165"</f>
        <v>165</v>
      </c>
      <c r="G4795">
        <v>1</v>
      </c>
      <c r="H4795">
        <v>2023</v>
      </c>
      <c r="I4795" t="s">
        <v>4910</v>
      </c>
    </row>
    <row r="4796" spans="1:9" x14ac:dyDescent="0.3">
      <c r="A4796" t="s">
        <v>10147</v>
      </c>
      <c r="B4796" t="s">
        <v>62</v>
      </c>
      <c r="C4796">
        <v>8989697390</v>
      </c>
      <c r="D4796" s="2">
        <v>1</v>
      </c>
      <c r="E4796" t="str">
        <f>"4574674200876043"</f>
        <v>4574674200876043</v>
      </c>
      <c r="F4796" t="str">
        <f>"986"</f>
        <v>986</v>
      </c>
      <c r="G4796">
        <v>1</v>
      </c>
      <c r="H4796">
        <v>2023</v>
      </c>
      <c r="I4796" t="s">
        <v>4911</v>
      </c>
    </row>
    <row r="4797" spans="1:9" x14ac:dyDescent="0.3">
      <c r="A4797" t="s">
        <v>10147</v>
      </c>
      <c r="B4797" t="s">
        <v>62</v>
      </c>
      <c r="C4797">
        <v>8989697390</v>
      </c>
      <c r="D4797" s="2">
        <v>1</v>
      </c>
      <c r="E4797" t="str">
        <f>"4574674200876050"</f>
        <v>4574674200876050</v>
      </c>
      <c r="F4797" t="str">
        <f>"895"</f>
        <v>895</v>
      </c>
      <c r="G4797">
        <v>1</v>
      </c>
      <c r="H4797">
        <v>2023</v>
      </c>
      <c r="I4797" t="s">
        <v>4912</v>
      </c>
    </row>
    <row r="4798" spans="1:9" x14ac:dyDescent="0.3">
      <c r="A4798" t="s">
        <v>10147</v>
      </c>
      <c r="B4798" t="s">
        <v>62</v>
      </c>
      <c r="C4798">
        <v>8989697390</v>
      </c>
      <c r="D4798" s="2">
        <v>1</v>
      </c>
      <c r="E4798" t="str">
        <f>"4574674200876092"</f>
        <v>4574674200876092</v>
      </c>
      <c r="F4798" t="str">
        <f>"232"</f>
        <v>232</v>
      </c>
      <c r="G4798">
        <v>1</v>
      </c>
      <c r="H4798">
        <v>2023</v>
      </c>
      <c r="I4798" t="s">
        <v>4913</v>
      </c>
    </row>
    <row r="4799" spans="1:9" x14ac:dyDescent="0.3">
      <c r="A4799" t="s">
        <v>10167</v>
      </c>
      <c r="B4799" t="s">
        <v>63</v>
      </c>
      <c r="C4799">
        <v>8989697390</v>
      </c>
      <c r="D4799" s="2">
        <v>1</v>
      </c>
      <c r="E4799" t="str">
        <f>"4574674200876183"</f>
        <v>4574674200876183</v>
      </c>
      <c r="F4799" t="str">
        <f>"600"</f>
        <v>600</v>
      </c>
      <c r="G4799">
        <v>1</v>
      </c>
      <c r="H4799">
        <v>2023</v>
      </c>
      <c r="I4799" t="s">
        <v>4914</v>
      </c>
    </row>
    <row r="4800" spans="1:9" x14ac:dyDescent="0.3">
      <c r="A4800" t="s">
        <v>10167</v>
      </c>
      <c r="B4800" t="s">
        <v>63</v>
      </c>
      <c r="C4800">
        <v>8989697390</v>
      </c>
      <c r="D4800" s="2">
        <v>1</v>
      </c>
      <c r="E4800" t="str">
        <f>"4574674200876191"</f>
        <v>4574674200876191</v>
      </c>
      <c r="F4800" t="str">
        <f>"923"</f>
        <v>923</v>
      </c>
      <c r="G4800">
        <v>1</v>
      </c>
      <c r="H4800">
        <v>2023</v>
      </c>
      <c r="I4800" t="s">
        <v>4915</v>
      </c>
    </row>
    <row r="4801" spans="1:9" x14ac:dyDescent="0.3">
      <c r="A4801" t="s">
        <v>10167</v>
      </c>
      <c r="B4801" t="s">
        <v>63</v>
      </c>
      <c r="C4801">
        <v>8989697390</v>
      </c>
      <c r="D4801" s="2">
        <v>1</v>
      </c>
      <c r="E4801" t="str">
        <f>"4574674200876274"</f>
        <v>4574674200876274</v>
      </c>
      <c r="F4801" t="str">
        <f>"749"</f>
        <v>749</v>
      </c>
      <c r="G4801">
        <v>1</v>
      </c>
      <c r="H4801">
        <v>2023</v>
      </c>
      <c r="I4801" t="s">
        <v>4916</v>
      </c>
    </row>
    <row r="4802" spans="1:9" x14ac:dyDescent="0.3">
      <c r="A4802" t="s">
        <v>10167</v>
      </c>
      <c r="B4802" t="s">
        <v>63</v>
      </c>
      <c r="C4802">
        <v>8989697390</v>
      </c>
      <c r="D4802" s="2">
        <v>1</v>
      </c>
      <c r="E4802" t="str">
        <f>"4574674200876498"</f>
        <v>4574674200876498</v>
      </c>
      <c r="F4802" t="str">
        <f>"672"</f>
        <v>672</v>
      </c>
      <c r="G4802">
        <v>1</v>
      </c>
      <c r="H4802">
        <v>2023</v>
      </c>
      <c r="I4802" t="s">
        <v>4917</v>
      </c>
    </row>
    <row r="4803" spans="1:9" x14ac:dyDescent="0.3">
      <c r="A4803" t="s">
        <v>10167</v>
      </c>
      <c r="B4803" t="s">
        <v>63</v>
      </c>
      <c r="C4803">
        <v>8989697390</v>
      </c>
      <c r="D4803" s="2">
        <v>1</v>
      </c>
      <c r="E4803" t="str">
        <f>"4574674200876456"</f>
        <v>4574674200876456</v>
      </c>
      <c r="F4803" t="str">
        <f>"566"</f>
        <v>566</v>
      </c>
      <c r="G4803">
        <v>1</v>
      </c>
      <c r="H4803">
        <v>2023</v>
      </c>
      <c r="I4803" t="s">
        <v>4918</v>
      </c>
    </row>
    <row r="4804" spans="1:9" x14ac:dyDescent="0.3">
      <c r="A4804" t="s">
        <v>10167</v>
      </c>
      <c r="B4804" t="s">
        <v>63</v>
      </c>
      <c r="C4804">
        <v>8989697390</v>
      </c>
      <c r="D4804" s="2">
        <v>1</v>
      </c>
      <c r="E4804" t="str">
        <f>"4574674200876449"</f>
        <v>4574674200876449</v>
      </c>
      <c r="F4804" t="str">
        <f>"991"</f>
        <v>991</v>
      </c>
      <c r="G4804">
        <v>1</v>
      </c>
      <c r="H4804">
        <v>2023</v>
      </c>
      <c r="I4804" t="s">
        <v>4919</v>
      </c>
    </row>
    <row r="4805" spans="1:9" x14ac:dyDescent="0.3">
      <c r="A4805" t="s">
        <v>10167</v>
      </c>
      <c r="B4805" t="s">
        <v>63</v>
      </c>
      <c r="C4805">
        <v>8989697390</v>
      </c>
      <c r="D4805" s="2">
        <v>1</v>
      </c>
      <c r="E4805" t="str">
        <f>"4574674200876548"</f>
        <v>4574674200876548</v>
      </c>
      <c r="F4805" t="str">
        <f>"748"</f>
        <v>748</v>
      </c>
      <c r="G4805">
        <v>1</v>
      </c>
      <c r="H4805">
        <v>2023</v>
      </c>
      <c r="I4805" t="s">
        <v>4920</v>
      </c>
    </row>
    <row r="4806" spans="1:9" x14ac:dyDescent="0.3">
      <c r="A4806" t="s">
        <v>10167</v>
      </c>
      <c r="B4806" t="s">
        <v>63</v>
      </c>
      <c r="C4806">
        <v>8989697390</v>
      </c>
      <c r="D4806" s="2">
        <v>1</v>
      </c>
      <c r="E4806" t="str">
        <f>"4574674200876316"</f>
        <v>4574674200876316</v>
      </c>
      <c r="F4806" t="str">
        <f>"460"</f>
        <v>460</v>
      </c>
      <c r="G4806">
        <v>1</v>
      </c>
      <c r="H4806">
        <v>2023</v>
      </c>
      <c r="I4806" t="s">
        <v>4921</v>
      </c>
    </row>
    <row r="4807" spans="1:9" x14ac:dyDescent="0.3">
      <c r="A4807" t="s">
        <v>10167</v>
      </c>
      <c r="B4807" t="s">
        <v>63</v>
      </c>
      <c r="C4807">
        <v>8989697390</v>
      </c>
      <c r="D4807" s="2">
        <v>1</v>
      </c>
      <c r="E4807" t="str">
        <f>"4574674200876555"</f>
        <v>4574674200876555</v>
      </c>
      <c r="F4807" t="str">
        <f>"064"</f>
        <v>064</v>
      </c>
      <c r="G4807">
        <v>1</v>
      </c>
      <c r="H4807">
        <v>2023</v>
      </c>
      <c r="I4807" t="s">
        <v>4922</v>
      </c>
    </row>
    <row r="4808" spans="1:9" x14ac:dyDescent="0.3">
      <c r="A4808" t="s">
        <v>10167</v>
      </c>
      <c r="B4808" t="s">
        <v>63</v>
      </c>
      <c r="C4808">
        <v>8989697390</v>
      </c>
      <c r="D4808" s="2">
        <v>1</v>
      </c>
      <c r="E4808" t="str">
        <f>"4574674200876563"</f>
        <v>4574674200876563</v>
      </c>
      <c r="F4808" t="str">
        <f>"382"</f>
        <v>382</v>
      </c>
      <c r="G4808">
        <v>1</v>
      </c>
      <c r="H4808">
        <v>2023</v>
      </c>
      <c r="I4808" t="s">
        <v>4923</v>
      </c>
    </row>
    <row r="4809" spans="1:9" x14ac:dyDescent="0.3">
      <c r="A4809" t="s">
        <v>10157</v>
      </c>
      <c r="B4809" t="s">
        <v>64</v>
      </c>
      <c r="C4809">
        <v>8989697390</v>
      </c>
      <c r="D4809" s="2">
        <v>1</v>
      </c>
      <c r="E4809" t="str">
        <f>"4574674200876613"</f>
        <v>4574674200876613</v>
      </c>
      <c r="F4809" t="str">
        <f>"867"</f>
        <v>867</v>
      </c>
      <c r="G4809">
        <v>1</v>
      </c>
      <c r="H4809">
        <v>2023</v>
      </c>
      <c r="I4809" t="s">
        <v>4924</v>
      </c>
    </row>
    <row r="4810" spans="1:9" x14ac:dyDescent="0.3">
      <c r="A4810" t="s">
        <v>10157</v>
      </c>
      <c r="B4810" t="s">
        <v>64</v>
      </c>
      <c r="C4810">
        <v>8989697390</v>
      </c>
      <c r="D4810" s="2">
        <v>1</v>
      </c>
      <c r="E4810" t="str">
        <f>"4574674200876399"</f>
        <v>4574674200876399</v>
      </c>
      <c r="F4810" t="str">
        <f>"659"</f>
        <v>659</v>
      </c>
      <c r="G4810">
        <v>1</v>
      </c>
      <c r="H4810">
        <v>2023</v>
      </c>
      <c r="I4810" t="s">
        <v>4925</v>
      </c>
    </row>
    <row r="4811" spans="1:9" x14ac:dyDescent="0.3">
      <c r="A4811" t="s">
        <v>10157</v>
      </c>
      <c r="B4811" t="s">
        <v>64</v>
      </c>
      <c r="C4811">
        <v>8989697390</v>
      </c>
      <c r="D4811" s="2">
        <v>1</v>
      </c>
      <c r="E4811" t="str">
        <f>"4574674200876621"</f>
        <v>4574674200876621</v>
      </c>
      <c r="F4811" t="str">
        <f>"480"</f>
        <v>480</v>
      </c>
      <c r="G4811">
        <v>1</v>
      </c>
      <c r="H4811">
        <v>2023</v>
      </c>
      <c r="I4811" t="s">
        <v>4926</v>
      </c>
    </row>
    <row r="4812" spans="1:9" x14ac:dyDescent="0.3">
      <c r="A4812" t="s">
        <v>10157</v>
      </c>
      <c r="B4812" t="s">
        <v>64</v>
      </c>
      <c r="C4812">
        <v>8989697390</v>
      </c>
      <c r="D4812" s="2">
        <v>1</v>
      </c>
      <c r="E4812" t="str">
        <f>"4574674200876639"</f>
        <v>4574674200876639</v>
      </c>
      <c r="F4812" t="str">
        <f>"665"</f>
        <v>665</v>
      </c>
      <c r="G4812">
        <v>1</v>
      </c>
      <c r="H4812">
        <v>2023</v>
      </c>
      <c r="I4812" t="s">
        <v>4927</v>
      </c>
    </row>
    <row r="4813" spans="1:9" x14ac:dyDescent="0.3">
      <c r="A4813" t="s">
        <v>10157</v>
      </c>
      <c r="B4813" t="s">
        <v>64</v>
      </c>
      <c r="C4813">
        <v>8989697390</v>
      </c>
      <c r="D4813" s="2">
        <v>1</v>
      </c>
      <c r="E4813" t="str">
        <f>"4574674200876696"</f>
        <v>4574674200876696</v>
      </c>
      <c r="F4813" t="str">
        <f>"072"</f>
        <v>072</v>
      </c>
      <c r="G4813">
        <v>1</v>
      </c>
      <c r="H4813">
        <v>2023</v>
      </c>
      <c r="I4813" t="s">
        <v>4928</v>
      </c>
    </row>
    <row r="4814" spans="1:9" x14ac:dyDescent="0.3">
      <c r="A4814" t="s">
        <v>10157</v>
      </c>
      <c r="B4814" t="s">
        <v>64</v>
      </c>
      <c r="C4814">
        <v>8989697390</v>
      </c>
      <c r="D4814" s="2">
        <v>1</v>
      </c>
      <c r="E4814" t="str">
        <f>"4574674200876837"</f>
        <v>4574674200876837</v>
      </c>
      <c r="F4814" t="str">
        <f>"293"</f>
        <v>293</v>
      </c>
      <c r="G4814">
        <v>1</v>
      </c>
      <c r="H4814">
        <v>2023</v>
      </c>
      <c r="I4814" t="s">
        <v>4929</v>
      </c>
    </row>
    <row r="4815" spans="1:9" x14ac:dyDescent="0.3">
      <c r="A4815" t="s">
        <v>10157</v>
      </c>
      <c r="B4815" t="s">
        <v>64</v>
      </c>
      <c r="C4815">
        <v>8989697390</v>
      </c>
      <c r="D4815" s="2">
        <v>1</v>
      </c>
      <c r="E4815" t="str">
        <f>"4574674200876761"</f>
        <v>4574674200876761</v>
      </c>
      <c r="F4815" t="str">
        <f>"162"</f>
        <v>162</v>
      </c>
      <c r="G4815">
        <v>1</v>
      </c>
      <c r="H4815">
        <v>2023</v>
      </c>
      <c r="I4815" t="s">
        <v>4930</v>
      </c>
    </row>
    <row r="4816" spans="1:9" x14ac:dyDescent="0.3">
      <c r="A4816" t="s">
        <v>10157</v>
      </c>
      <c r="B4816" t="s">
        <v>64</v>
      </c>
      <c r="C4816">
        <v>8989697390</v>
      </c>
      <c r="D4816" s="2">
        <v>1</v>
      </c>
      <c r="E4816" t="str">
        <f>"4574674200876779"</f>
        <v>4574674200876779</v>
      </c>
      <c r="F4816" t="str">
        <f>"584"</f>
        <v>584</v>
      </c>
      <c r="G4816">
        <v>1</v>
      </c>
      <c r="H4816">
        <v>2023</v>
      </c>
      <c r="I4816" t="s">
        <v>4931</v>
      </c>
    </row>
    <row r="4817" spans="1:9" x14ac:dyDescent="0.3">
      <c r="A4817" t="s">
        <v>10157</v>
      </c>
      <c r="B4817" t="s">
        <v>64</v>
      </c>
      <c r="C4817">
        <v>8989697390</v>
      </c>
      <c r="D4817" s="2">
        <v>1</v>
      </c>
      <c r="E4817" t="str">
        <f>"4574674200876787"</f>
        <v>4574674200876787</v>
      </c>
      <c r="F4817" t="str">
        <f>"265"</f>
        <v>265</v>
      </c>
      <c r="G4817">
        <v>1</v>
      </c>
      <c r="H4817">
        <v>2023</v>
      </c>
      <c r="I4817" t="s">
        <v>4932</v>
      </c>
    </row>
    <row r="4818" spans="1:9" x14ac:dyDescent="0.3">
      <c r="A4818" t="s">
        <v>10157</v>
      </c>
      <c r="B4818" t="s">
        <v>64</v>
      </c>
      <c r="C4818">
        <v>8989697390</v>
      </c>
      <c r="D4818" s="2">
        <v>1</v>
      </c>
      <c r="E4818" t="str">
        <f>"4574674200876795"</f>
        <v>4574674200876795</v>
      </c>
      <c r="F4818" t="str">
        <f>"939"</f>
        <v>939</v>
      </c>
      <c r="G4818">
        <v>1</v>
      </c>
      <c r="H4818">
        <v>2023</v>
      </c>
      <c r="I4818" t="s">
        <v>4933</v>
      </c>
    </row>
    <row r="4819" spans="1:9" x14ac:dyDescent="0.3">
      <c r="A4819" t="s">
        <v>10158</v>
      </c>
      <c r="B4819" t="s">
        <v>65</v>
      </c>
      <c r="C4819">
        <v>8989697390</v>
      </c>
      <c r="D4819" s="2">
        <v>1</v>
      </c>
      <c r="E4819" t="str">
        <f>"4574674200877074"</f>
        <v>4574674200877074</v>
      </c>
      <c r="F4819" t="str">
        <f>"788"</f>
        <v>788</v>
      </c>
      <c r="G4819">
        <v>1</v>
      </c>
      <c r="H4819">
        <v>2023</v>
      </c>
      <c r="I4819" t="s">
        <v>4934</v>
      </c>
    </row>
    <row r="4820" spans="1:9" x14ac:dyDescent="0.3">
      <c r="A4820" t="s">
        <v>10158</v>
      </c>
      <c r="B4820" t="s">
        <v>65</v>
      </c>
      <c r="C4820">
        <v>8989697390</v>
      </c>
      <c r="D4820" s="2">
        <v>1</v>
      </c>
      <c r="E4820" t="str">
        <f>"4574674200877090"</f>
        <v>4574674200877090</v>
      </c>
      <c r="F4820" t="str">
        <f>"005"</f>
        <v>005</v>
      </c>
      <c r="G4820">
        <v>1</v>
      </c>
      <c r="H4820">
        <v>2023</v>
      </c>
      <c r="I4820" t="s">
        <v>4935</v>
      </c>
    </row>
    <row r="4821" spans="1:9" x14ac:dyDescent="0.3">
      <c r="A4821" t="s">
        <v>10158</v>
      </c>
      <c r="B4821" t="s">
        <v>65</v>
      </c>
      <c r="C4821">
        <v>8989697390</v>
      </c>
      <c r="D4821" s="2">
        <v>1</v>
      </c>
      <c r="E4821" t="str">
        <f>"4574674200877132"</f>
        <v>4574674200877132</v>
      </c>
      <c r="F4821" t="str">
        <f>"704"</f>
        <v>704</v>
      </c>
      <c r="G4821">
        <v>1</v>
      </c>
      <c r="H4821">
        <v>2023</v>
      </c>
      <c r="I4821" t="s">
        <v>4936</v>
      </c>
    </row>
    <row r="4822" spans="1:9" x14ac:dyDescent="0.3">
      <c r="A4822" t="s">
        <v>10158</v>
      </c>
      <c r="B4822" t="s">
        <v>65</v>
      </c>
      <c r="C4822">
        <v>8989697390</v>
      </c>
      <c r="D4822" s="2">
        <v>1</v>
      </c>
      <c r="E4822" t="str">
        <f>"4574674200877140"</f>
        <v>4574674200877140</v>
      </c>
      <c r="F4822" t="str">
        <f>"306"</f>
        <v>306</v>
      </c>
      <c r="G4822">
        <v>1</v>
      </c>
      <c r="H4822">
        <v>2023</v>
      </c>
      <c r="I4822" t="s">
        <v>4937</v>
      </c>
    </row>
    <row r="4823" spans="1:9" x14ac:dyDescent="0.3">
      <c r="A4823" t="s">
        <v>10158</v>
      </c>
      <c r="B4823" t="s">
        <v>65</v>
      </c>
      <c r="C4823">
        <v>8989697390</v>
      </c>
      <c r="D4823" s="2">
        <v>1</v>
      </c>
      <c r="E4823" t="str">
        <f>"4574674200877157"</f>
        <v>4574674200877157</v>
      </c>
      <c r="F4823" t="str">
        <f>"955"</f>
        <v>955</v>
      </c>
      <c r="G4823">
        <v>1</v>
      </c>
      <c r="H4823">
        <v>2023</v>
      </c>
      <c r="I4823" t="s">
        <v>4938</v>
      </c>
    </row>
    <row r="4824" spans="1:9" x14ac:dyDescent="0.3">
      <c r="A4824" t="s">
        <v>10158</v>
      </c>
      <c r="B4824" t="s">
        <v>65</v>
      </c>
      <c r="C4824">
        <v>8989697390</v>
      </c>
      <c r="D4824" s="2">
        <v>1</v>
      </c>
      <c r="E4824" t="str">
        <f>"4574674200877447"</f>
        <v>4574674200877447</v>
      </c>
      <c r="F4824" t="str">
        <f>"127"</f>
        <v>127</v>
      </c>
      <c r="G4824">
        <v>1</v>
      </c>
      <c r="H4824">
        <v>2023</v>
      </c>
      <c r="I4824" t="s">
        <v>4939</v>
      </c>
    </row>
    <row r="4825" spans="1:9" x14ac:dyDescent="0.3">
      <c r="A4825" t="s">
        <v>10158</v>
      </c>
      <c r="B4825" t="s">
        <v>65</v>
      </c>
      <c r="C4825">
        <v>8989697390</v>
      </c>
      <c r="D4825" s="2">
        <v>1</v>
      </c>
      <c r="E4825" t="str">
        <f>"4574674200877462"</f>
        <v>4574674200877462</v>
      </c>
      <c r="F4825" t="str">
        <f>"664"</f>
        <v>664</v>
      </c>
      <c r="G4825">
        <v>1</v>
      </c>
      <c r="H4825">
        <v>2023</v>
      </c>
      <c r="I4825" t="s">
        <v>4940</v>
      </c>
    </row>
    <row r="4826" spans="1:9" x14ac:dyDescent="0.3">
      <c r="A4826" t="s">
        <v>10158</v>
      </c>
      <c r="B4826" t="s">
        <v>65</v>
      </c>
      <c r="C4826">
        <v>8989697390</v>
      </c>
      <c r="D4826" s="2">
        <v>1</v>
      </c>
      <c r="E4826" t="str">
        <f>"4574674200877231"</f>
        <v>4574674200877231</v>
      </c>
      <c r="F4826" t="str">
        <f>"053"</f>
        <v>053</v>
      </c>
      <c r="G4826">
        <v>1</v>
      </c>
      <c r="H4826">
        <v>2023</v>
      </c>
      <c r="I4826" t="s">
        <v>4941</v>
      </c>
    </row>
    <row r="4827" spans="1:9" x14ac:dyDescent="0.3">
      <c r="A4827" t="s">
        <v>10158</v>
      </c>
      <c r="B4827" t="s">
        <v>65</v>
      </c>
      <c r="C4827">
        <v>8989697390</v>
      </c>
      <c r="D4827" s="2">
        <v>1</v>
      </c>
      <c r="E4827" t="str">
        <f>"4574674200877223"</f>
        <v>4574674200877223</v>
      </c>
      <c r="F4827" t="str">
        <f>"424"</f>
        <v>424</v>
      </c>
      <c r="G4827">
        <v>1</v>
      </c>
      <c r="H4827">
        <v>2023</v>
      </c>
      <c r="I4827" t="s">
        <v>4942</v>
      </c>
    </row>
    <row r="4828" spans="1:9" x14ac:dyDescent="0.3">
      <c r="A4828" t="s">
        <v>10158</v>
      </c>
      <c r="B4828" t="s">
        <v>65</v>
      </c>
      <c r="C4828">
        <v>8989697390</v>
      </c>
      <c r="D4828" s="2">
        <v>1</v>
      </c>
      <c r="E4828" t="str">
        <f>"4574674200877512"</f>
        <v>4574674200877512</v>
      </c>
      <c r="F4828" t="str">
        <f>"114"</f>
        <v>114</v>
      </c>
      <c r="G4828">
        <v>1</v>
      </c>
      <c r="H4828">
        <v>2023</v>
      </c>
      <c r="I4828" t="s">
        <v>4943</v>
      </c>
    </row>
    <row r="4829" spans="1:9" x14ac:dyDescent="0.3">
      <c r="A4829" t="s">
        <v>10159</v>
      </c>
      <c r="B4829" t="s">
        <v>66</v>
      </c>
      <c r="C4829">
        <v>8989697390</v>
      </c>
      <c r="D4829" s="2">
        <v>1</v>
      </c>
      <c r="E4829" t="str">
        <f>"4574674200877504"</f>
        <v>4574674200877504</v>
      </c>
      <c r="F4829" t="str">
        <f>"704"</f>
        <v>704</v>
      </c>
      <c r="G4829">
        <v>1</v>
      </c>
      <c r="H4829">
        <v>2023</v>
      </c>
      <c r="I4829" t="s">
        <v>4944</v>
      </c>
    </row>
    <row r="4830" spans="1:9" x14ac:dyDescent="0.3">
      <c r="A4830" t="s">
        <v>10159</v>
      </c>
      <c r="B4830" t="s">
        <v>66</v>
      </c>
      <c r="C4830">
        <v>8989697390</v>
      </c>
      <c r="D4830" s="2">
        <v>1</v>
      </c>
      <c r="E4830" t="str">
        <f>"4574674200877538"</f>
        <v>4574674200877538</v>
      </c>
      <c r="F4830" t="str">
        <f>"426"</f>
        <v>426</v>
      </c>
      <c r="G4830">
        <v>1</v>
      </c>
      <c r="H4830">
        <v>2023</v>
      </c>
      <c r="I4830" t="s">
        <v>4945</v>
      </c>
    </row>
    <row r="4831" spans="1:9" x14ac:dyDescent="0.3">
      <c r="A4831" t="s">
        <v>10159</v>
      </c>
      <c r="B4831" t="s">
        <v>66</v>
      </c>
      <c r="C4831">
        <v>8989697390</v>
      </c>
      <c r="D4831" s="2">
        <v>1</v>
      </c>
      <c r="E4831" t="str">
        <f>"4574674200877587"</f>
        <v>4574674200877587</v>
      </c>
      <c r="F4831" t="str">
        <f>"040"</f>
        <v>040</v>
      </c>
      <c r="G4831">
        <v>1</v>
      </c>
      <c r="H4831">
        <v>2023</v>
      </c>
      <c r="I4831" t="s">
        <v>4946</v>
      </c>
    </row>
    <row r="4832" spans="1:9" x14ac:dyDescent="0.3">
      <c r="A4832" t="s">
        <v>10159</v>
      </c>
      <c r="B4832" t="s">
        <v>66</v>
      </c>
      <c r="C4832">
        <v>8989697390</v>
      </c>
      <c r="D4832" s="2">
        <v>1</v>
      </c>
      <c r="E4832" t="str">
        <f>"4574674200877629"</f>
        <v>4574674200877629</v>
      </c>
      <c r="F4832" t="str">
        <f>"244"</f>
        <v>244</v>
      </c>
      <c r="G4832">
        <v>1</v>
      </c>
      <c r="H4832">
        <v>2023</v>
      </c>
      <c r="I4832" t="s">
        <v>4947</v>
      </c>
    </row>
    <row r="4833" spans="1:9" x14ac:dyDescent="0.3">
      <c r="A4833" t="s">
        <v>10159</v>
      </c>
      <c r="B4833" t="s">
        <v>66</v>
      </c>
      <c r="C4833">
        <v>8989697390</v>
      </c>
      <c r="D4833" s="2">
        <v>1</v>
      </c>
      <c r="E4833" t="str">
        <f>"4574674200877652"</f>
        <v>4574674200877652</v>
      </c>
      <c r="F4833" t="str">
        <f>"421"</f>
        <v>421</v>
      </c>
      <c r="G4833">
        <v>1</v>
      </c>
      <c r="H4833">
        <v>2023</v>
      </c>
      <c r="I4833" t="s">
        <v>4948</v>
      </c>
    </row>
    <row r="4834" spans="1:9" x14ac:dyDescent="0.3">
      <c r="A4834" t="s">
        <v>10159</v>
      </c>
      <c r="B4834" t="s">
        <v>66</v>
      </c>
      <c r="C4834">
        <v>8989697390</v>
      </c>
      <c r="D4834" s="2">
        <v>1</v>
      </c>
      <c r="E4834" t="str">
        <f>"4574674200877660"</f>
        <v>4574674200877660</v>
      </c>
      <c r="F4834" t="str">
        <f>"160"</f>
        <v>160</v>
      </c>
      <c r="G4834">
        <v>1</v>
      </c>
      <c r="H4834">
        <v>2023</v>
      </c>
      <c r="I4834" t="s">
        <v>4949</v>
      </c>
    </row>
    <row r="4835" spans="1:9" x14ac:dyDescent="0.3">
      <c r="A4835" t="s">
        <v>10159</v>
      </c>
      <c r="B4835" t="s">
        <v>66</v>
      </c>
      <c r="C4835">
        <v>8989697390</v>
      </c>
      <c r="D4835" s="2">
        <v>1</v>
      </c>
      <c r="E4835" t="str">
        <f>"4574674200877686"</f>
        <v>4574674200877686</v>
      </c>
      <c r="F4835" t="str">
        <f>"296"</f>
        <v>296</v>
      </c>
      <c r="G4835">
        <v>1</v>
      </c>
      <c r="H4835">
        <v>2023</v>
      </c>
      <c r="I4835" t="s">
        <v>4950</v>
      </c>
    </row>
    <row r="4836" spans="1:9" x14ac:dyDescent="0.3">
      <c r="A4836" t="s">
        <v>10159</v>
      </c>
      <c r="B4836" t="s">
        <v>66</v>
      </c>
      <c r="C4836">
        <v>8989697390</v>
      </c>
      <c r="D4836" s="2">
        <v>1</v>
      </c>
      <c r="E4836" t="str">
        <f>"4574674200877348"</f>
        <v>4574674200877348</v>
      </c>
      <c r="F4836" t="str">
        <f>"759"</f>
        <v>759</v>
      </c>
      <c r="G4836">
        <v>1</v>
      </c>
      <c r="H4836">
        <v>2023</v>
      </c>
      <c r="I4836" t="s">
        <v>4951</v>
      </c>
    </row>
    <row r="4837" spans="1:9" x14ac:dyDescent="0.3">
      <c r="A4837" t="s">
        <v>10159</v>
      </c>
      <c r="B4837" t="s">
        <v>66</v>
      </c>
      <c r="C4837">
        <v>8989697390</v>
      </c>
      <c r="D4837" s="2">
        <v>1</v>
      </c>
      <c r="E4837" t="str">
        <f>"4574674200877702"</f>
        <v>4574674200877702</v>
      </c>
      <c r="F4837" t="str">
        <f>"323"</f>
        <v>323</v>
      </c>
      <c r="G4837">
        <v>1</v>
      </c>
      <c r="H4837">
        <v>2023</v>
      </c>
      <c r="I4837" t="s">
        <v>4952</v>
      </c>
    </row>
    <row r="4838" spans="1:9" x14ac:dyDescent="0.3">
      <c r="A4838" t="s">
        <v>10159</v>
      </c>
      <c r="B4838" t="s">
        <v>66</v>
      </c>
      <c r="C4838">
        <v>8989697390</v>
      </c>
      <c r="D4838" s="2">
        <v>1</v>
      </c>
      <c r="E4838" t="str">
        <f>"4574674200877371"</f>
        <v>4574674200877371</v>
      </c>
      <c r="F4838" t="str">
        <f>"097"</f>
        <v>097</v>
      </c>
      <c r="G4838">
        <v>1</v>
      </c>
      <c r="H4838">
        <v>2023</v>
      </c>
      <c r="I4838" t="s">
        <v>4953</v>
      </c>
    </row>
    <row r="4839" spans="1:9" x14ac:dyDescent="0.3">
      <c r="A4839" t="s">
        <v>10130</v>
      </c>
      <c r="B4839" t="s">
        <v>67</v>
      </c>
      <c r="C4839">
        <v>8989697390</v>
      </c>
      <c r="D4839" s="2">
        <v>1</v>
      </c>
      <c r="E4839" t="str">
        <f>"4574674200877785"</f>
        <v>4574674200877785</v>
      </c>
      <c r="F4839" t="str">
        <f>"639"</f>
        <v>639</v>
      </c>
      <c r="G4839">
        <v>1</v>
      </c>
      <c r="H4839">
        <v>2023</v>
      </c>
      <c r="I4839" t="s">
        <v>4954</v>
      </c>
    </row>
    <row r="4840" spans="1:9" x14ac:dyDescent="0.3">
      <c r="A4840" t="s">
        <v>10130</v>
      </c>
      <c r="B4840" t="s">
        <v>67</v>
      </c>
      <c r="C4840">
        <v>8989697390</v>
      </c>
      <c r="D4840" s="2">
        <v>1</v>
      </c>
      <c r="E4840" t="str">
        <f>"4574674200878007"</f>
        <v>4574674200878007</v>
      </c>
      <c r="F4840" t="str">
        <f>"545"</f>
        <v>545</v>
      </c>
      <c r="G4840">
        <v>1</v>
      </c>
      <c r="H4840">
        <v>2023</v>
      </c>
      <c r="I4840" t="s">
        <v>4955</v>
      </c>
    </row>
    <row r="4841" spans="1:9" x14ac:dyDescent="0.3">
      <c r="A4841" t="s">
        <v>10130</v>
      </c>
      <c r="B4841" t="s">
        <v>67</v>
      </c>
      <c r="C4841">
        <v>8989697390</v>
      </c>
      <c r="D4841" s="2">
        <v>1</v>
      </c>
      <c r="E4841" t="str">
        <f>"4574674200878023"</f>
        <v>4574674200878023</v>
      </c>
      <c r="F4841" t="str">
        <f>"209"</f>
        <v>209</v>
      </c>
      <c r="G4841">
        <v>1</v>
      </c>
      <c r="H4841">
        <v>2023</v>
      </c>
      <c r="I4841" t="s">
        <v>4956</v>
      </c>
    </row>
    <row r="4842" spans="1:9" x14ac:dyDescent="0.3">
      <c r="A4842" t="s">
        <v>10130</v>
      </c>
      <c r="B4842" t="s">
        <v>67</v>
      </c>
      <c r="C4842">
        <v>8989697390</v>
      </c>
      <c r="D4842" s="2">
        <v>1</v>
      </c>
      <c r="E4842" t="str">
        <f>"4574674200878056"</f>
        <v>4574674200878056</v>
      </c>
      <c r="F4842" t="str">
        <f>"383"</f>
        <v>383</v>
      </c>
      <c r="G4842">
        <v>1</v>
      </c>
      <c r="H4842">
        <v>2023</v>
      </c>
      <c r="I4842" t="s">
        <v>4957</v>
      </c>
    </row>
    <row r="4843" spans="1:9" x14ac:dyDescent="0.3">
      <c r="A4843" t="s">
        <v>10130</v>
      </c>
      <c r="B4843" t="s">
        <v>67</v>
      </c>
      <c r="C4843">
        <v>8989697390</v>
      </c>
      <c r="D4843" s="2">
        <v>1</v>
      </c>
      <c r="E4843" t="str">
        <f>"4574674200878098"</f>
        <v>4574674200878098</v>
      </c>
      <c r="F4843" t="str">
        <f>"289"</f>
        <v>289</v>
      </c>
      <c r="G4843">
        <v>1</v>
      </c>
      <c r="H4843">
        <v>2023</v>
      </c>
      <c r="I4843" t="s">
        <v>4958</v>
      </c>
    </row>
    <row r="4844" spans="1:9" x14ac:dyDescent="0.3">
      <c r="A4844" t="s">
        <v>10130</v>
      </c>
      <c r="B4844" t="s">
        <v>67</v>
      </c>
      <c r="C4844">
        <v>8989697390</v>
      </c>
      <c r="D4844" s="2">
        <v>1</v>
      </c>
      <c r="E4844" t="str">
        <f>"4574674200878148"</f>
        <v>4574674200878148</v>
      </c>
      <c r="F4844" t="str">
        <f>"826"</f>
        <v>826</v>
      </c>
      <c r="G4844">
        <v>1</v>
      </c>
      <c r="H4844">
        <v>2023</v>
      </c>
      <c r="I4844" t="s">
        <v>4959</v>
      </c>
    </row>
    <row r="4845" spans="1:9" x14ac:dyDescent="0.3">
      <c r="A4845" t="s">
        <v>10130</v>
      </c>
      <c r="B4845" t="s">
        <v>67</v>
      </c>
      <c r="C4845">
        <v>8989697390</v>
      </c>
      <c r="D4845" s="2">
        <v>1</v>
      </c>
      <c r="E4845" t="str">
        <f>"4574674200878130"</f>
        <v>4574674200878130</v>
      </c>
      <c r="F4845" t="str">
        <f>"632"</f>
        <v>632</v>
      </c>
      <c r="G4845">
        <v>1</v>
      </c>
      <c r="H4845">
        <v>2023</v>
      </c>
      <c r="I4845" t="s">
        <v>4960</v>
      </c>
    </row>
    <row r="4846" spans="1:9" x14ac:dyDescent="0.3">
      <c r="A4846" t="s">
        <v>10130</v>
      </c>
      <c r="B4846" t="s">
        <v>67</v>
      </c>
      <c r="C4846">
        <v>8989697390</v>
      </c>
      <c r="D4846" s="2">
        <v>1</v>
      </c>
      <c r="E4846" t="str">
        <f>"4574674200878189"</f>
        <v>4574674200878189</v>
      </c>
      <c r="F4846" t="str">
        <f>"136"</f>
        <v>136</v>
      </c>
      <c r="G4846">
        <v>1</v>
      </c>
      <c r="H4846">
        <v>2023</v>
      </c>
      <c r="I4846" t="s">
        <v>4961</v>
      </c>
    </row>
    <row r="4847" spans="1:9" x14ac:dyDescent="0.3">
      <c r="A4847" t="s">
        <v>10130</v>
      </c>
      <c r="B4847" t="s">
        <v>67</v>
      </c>
      <c r="C4847">
        <v>8989697390</v>
      </c>
      <c r="D4847" s="2">
        <v>1</v>
      </c>
      <c r="E4847" t="str">
        <f>"4574674200877876"</f>
        <v>4574674200877876</v>
      </c>
      <c r="F4847" t="str">
        <f>"450"</f>
        <v>450</v>
      </c>
      <c r="G4847">
        <v>1</v>
      </c>
      <c r="H4847">
        <v>2023</v>
      </c>
      <c r="I4847" t="s">
        <v>4962</v>
      </c>
    </row>
    <row r="4848" spans="1:9" x14ac:dyDescent="0.3">
      <c r="A4848" t="s">
        <v>10130</v>
      </c>
      <c r="B4848" t="s">
        <v>67</v>
      </c>
      <c r="C4848">
        <v>8989697390</v>
      </c>
      <c r="D4848" s="2">
        <v>1</v>
      </c>
      <c r="E4848" t="str">
        <f>"4574674200877884"</f>
        <v>4574674200877884</v>
      </c>
      <c r="F4848" t="str">
        <f>"667"</f>
        <v>667</v>
      </c>
      <c r="G4848">
        <v>1</v>
      </c>
      <c r="H4848">
        <v>2023</v>
      </c>
      <c r="I4848" t="s">
        <v>4963</v>
      </c>
    </row>
    <row r="4849" spans="1:9" x14ac:dyDescent="0.3">
      <c r="A4849" t="s">
        <v>10132</v>
      </c>
      <c r="B4849" t="s">
        <v>68</v>
      </c>
      <c r="C4849">
        <v>8989697390</v>
      </c>
      <c r="D4849" s="2">
        <v>1</v>
      </c>
      <c r="E4849" t="str">
        <f>"4574674200878239"</f>
        <v>4574674200878239</v>
      </c>
      <c r="F4849" t="str">
        <f>"894"</f>
        <v>894</v>
      </c>
      <c r="G4849">
        <v>1</v>
      </c>
      <c r="H4849">
        <v>2023</v>
      </c>
      <c r="I4849" t="s">
        <v>4964</v>
      </c>
    </row>
    <row r="4850" spans="1:9" x14ac:dyDescent="0.3">
      <c r="A4850" t="s">
        <v>10132</v>
      </c>
      <c r="B4850" t="s">
        <v>68</v>
      </c>
      <c r="C4850">
        <v>8989697390</v>
      </c>
      <c r="D4850" s="2">
        <v>1</v>
      </c>
      <c r="E4850" t="str">
        <f>"4574674200878247"</f>
        <v>4574674200878247</v>
      </c>
      <c r="F4850" t="str">
        <f>"241"</f>
        <v>241</v>
      </c>
      <c r="G4850">
        <v>1</v>
      </c>
      <c r="H4850">
        <v>2023</v>
      </c>
      <c r="I4850" t="s">
        <v>4965</v>
      </c>
    </row>
    <row r="4851" spans="1:9" x14ac:dyDescent="0.3">
      <c r="A4851" t="s">
        <v>10132</v>
      </c>
      <c r="B4851" t="s">
        <v>68</v>
      </c>
      <c r="C4851">
        <v>8989697390</v>
      </c>
      <c r="D4851" s="2">
        <v>1</v>
      </c>
      <c r="E4851" t="str">
        <f>"4574674200878296"</f>
        <v>4574674200878296</v>
      </c>
      <c r="F4851" t="str">
        <f>"465"</f>
        <v>465</v>
      </c>
      <c r="G4851">
        <v>1</v>
      </c>
      <c r="H4851">
        <v>2023</v>
      </c>
      <c r="I4851" t="s">
        <v>4966</v>
      </c>
    </row>
    <row r="4852" spans="1:9" x14ac:dyDescent="0.3">
      <c r="A4852" t="s">
        <v>10132</v>
      </c>
      <c r="B4852" t="s">
        <v>68</v>
      </c>
      <c r="C4852">
        <v>8989697390</v>
      </c>
      <c r="D4852" s="2">
        <v>1</v>
      </c>
      <c r="E4852" t="str">
        <f>"4574674200878312"</f>
        <v>4574674200878312</v>
      </c>
      <c r="F4852" t="str">
        <f>"137"</f>
        <v>137</v>
      </c>
      <c r="G4852">
        <v>1</v>
      </c>
      <c r="H4852">
        <v>2023</v>
      </c>
      <c r="I4852" t="s">
        <v>4967</v>
      </c>
    </row>
    <row r="4853" spans="1:9" x14ac:dyDescent="0.3">
      <c r="A4853" t="s">
        <v>10132</v>
      </c>
      <c r="B4853" t="s">
        <v>68</v>
      </c>
      <c r="C4853">
        <v>8989697390</v>
      </c>
      <c r="D4853" s="2">
        <v>1</v>
      </c>
      <c r="E4853" t="str">
        <f>"4574674200878346"</f>
        <v>4574674200878346</v>
      </c>
      <c r="F4853" t="str">
        <f>"357"</f>
        <v>357</v>
      </c>
      <c r="G4853">
        <v>1</v>
      </c>
      <c r="H4853">
        <v>2023</v>
      </c>
      <c r="I4853" t="s">
        <v>4968</v>
      </c>
    </row>
    <row r="4854" spans="1:9" x14ac:dyDescent="0.3">
      <c r="A4854" t="s">
        <v>10132</v>
      </c>
      <c r="B4854" t="s">
        <v>68</v>
      </c>
      <c r="C4854">
        <v>8989697390</v>
      </c>
      <c r="D4854" s="2">
        <v>1</v>
      </c>
      <c r="E4854" t="str">
        <f>"4574674200878395"</f>
        <v>4574674200878395</v>
      </c>
      <c r="F4854" t="str">
        <f>"431"</f>
        <v>431</v>
      </c>
      <c r="G4854">
        <v>1</v>
      </c>
      <c r="H4854">
        <v>2023</v>
      </c>
      <c r="I4854" t="s">
        <v>4969</v>
      </c>
    </row>
    <row r="4855" spans="1:9" x14ac:dyDescent="0.3">
      <c r="A4855" t="s">
        <v>10132</v>
      </c>
      <c r="B4855" t="s">
        <v>68</v>
      </c>
      <c r="C4855">
        <v>8989697390</v>
      </c>
      <c r="D4855" s="2">
        <v>1</v>
      </c>
      <c r="E4855" t="str">
        <f>"4574674200878403"</f>
        <v>4574674200878403</v>
      </c>
      <c r="F4855" t="str">
        <f>"994"</f>
        <v>994</v>
      </c>
      <c r="G4855">
        <v>1</v>
      </c>
      <c r="H4855">
        <v>2023</v>
      </c>
      <c r="I4855" t="s">
        <v>4970</v>
      </c>
    </row>
    <row r="4856" spans="1:9" x14ac:dyDescent="0.3">
      <c r="A4856" t="s">
        <v>10132</v>
      </c>
      <c r="B4856" t="s">
        <v>68</v>
      </c>
      <c r="C4856">
        <v>8989697390</v>
      </c>
      <c r="D4856" s="2">
        <v>1</v>
      </c>
      <c r="E4856" t="str">
        <f>"4574674200877975"</f>
        <v>4574674200877975</v>
      </c>
      <c r="F4856" t="str">
        <f>"073"</f>
        <v>073</v>
      </c>
      <c r="G4856">
        <v>1</v>
      </c>
      <c r="H4856">
        <v>2023</v>
      </c>
      <c r="I4856" t="s">
        <v>4971</v>
      </c>
    </row>
    <row r="4857" spans="1:9" x14ac:dyDescent="0.3">
      <c r="A4857" t="s">
        <v>10132</v>
      </c>
      <c r="B4857" t="s">
        <v>68</v>
      </c>
      <c r="C4857">
        <v>8989697390</v>
      </c>
      <c r="D4857" s="2">
        <v>1</v>
      </c>
      <c r="E4857" t="str">
        <f>"4574674200878601"</f>
        <v>4574674200878601</v>
      </c>
      <c r="F4857" t="str">
        <f>"322"</f>
        <v>322</v>
      </c>
      <c r="G4857">
        <v>1</v>
      </c>
      <c r="H4857">
        <v>2023</v>
      </c>
      <c r="I4857" t="s">
        <v>4972</v>
      </c>
    </row>
    <row r="4858" spans="1:9" x14ac:dyDescent="0.3">
      <c r="A4858" t="s">
        <v>10132</v>
      </c>
      <c r="B4858" t="s">
        <v>68</v>
      </c>
      <c r="C4858">
        <v>8989697390</v>
      </c>
      <c r="D4858" s="2">
        <v>1</v>
      </c>
      <c r="E4858" t="str">
        <f>"4574674200878445"</f>
        <v>4574674200878445</v>
      </c>
      <c r="F4858" t="str">
        <f>"371"</f>
        <v>371</v>
      </c>
      <c r="G4858">
        <v>1</v>
      </c>
      <c r="H4858">
        <v>2023</v>
      </c>
      <c r="I4858" t="s">
        <v>4973</v>
      </c>
    </row>
    <row r="4859" spans="1:9" x14ac:dyDescent="0.3">
      <c r="A4859" t="s">
        <v>10168</v>
      </c>
      <c r="B4859" t="s">
        <v>69</v>
      </c>
      <c r="C4859">
        <v>8989697390</v>
      </c>
      <c r="D4859" s="2">
        <v>1</v>
      </c>
      <c r="E4859" t="str">
        <f>"4574674200878486"</f>
        <v>4574674200878486</v>
      </c>
      <c r="F4859" t="str">
        <f>"771"</f>
        <v>771</v>
      </c>
      <c r="G4859">
        <v>1</v>
      </c>
      <c r="H4859">
        <v>2023</v>
      </c>
      <c r="I4859" t="s">
        <v>4974</v>
      </c>
    </row>
    <row r="4860" spans="1:9" x14ac:dyDescent="0.3">
      <c r="A4860" t="s">
        <v>10168</v>
      </c>
      <c r="B4860" t="s">
        <v>69</v>
      </c>
      <c r="C4860">
        <v>8989697390</v>
      </c>
      <c r="D4860" s="2">
        <v>1</v>
      </c>
      <c r="E4860" t="str">
        <f>"4574674200878502"</f>
        <v>4574674200878502</v>
      </c>
      <c r="F4860" t="str">
        <f>"170"</f>
        <v>170</v>
      </c>
      <c r="G4860">
        <v>1</v>
      </c>
      <c r="H4860">
        <v>2023</v>
      </c>
      <c r="I4860" t="s">
        <v>4975</v>
      </c>
    </row>
    <row r="4861" spans="1:9" x14ac:dyDescent="0.3">
      <c r="A4861" t="s">
        <v>10168</v>
      </c>
      <c r="B4861" t="s">
        <v>69</v>
      </c>
      <c r="C4861">
        <v>8989697390</v>
      </c>
      <c r="D4861" s="2">
        <v>1</v>
      </c>
      <c r="E4861" t="str">
        <f>"4574674200878569"</f>
        <v>4574674200878569</v>
      </c>
      <c r="F4861" t="str">
        <f>"373"</f>
        <v>373</v>
      </c>
      <c r="G4861">
        <v>1</v>
      </c>
      <c r="H4861">
        <v>2023</v>
      </c>
      <c r="I4861" t="s">
        <v>4976</v>
      </c>
    </row>
    <row r="4862" spans="1:9" x14ac:dyDescent="0.3">
      <c r="A4862" t="s">
        <v>10168</v>
      </c>
      <c r="B4862" t="s">
        <v>69</v>
      </c>
      <c r="C4862">
        <v>8989697390</v>
      </c>
      <c r="D4862" s="2">
        <v>1</v>
      </c>
      <c r="E4862" t="str">
        <f>"4574674200878577"</f>
        <v>4574674200878577</v>
      </c>
      <c r="F4862" t="str">
        <f>"155"</f>
        <v>155</v>
      </c>
      <c r="G4862">
        <v>1</v>
      </c>
      <c r="H4862">
        <v>2023</v>
      </c>
      <c r="I4862" t="s">
        <v>4977</v>
      </c>
    </row>
    <row r="4863" spans="1:9" x14ac:dyDescent="0.3">
      <c r="A4863" t="s">
        <v>10168</v>
      </c>
      <c r="B4863" t="s">
        <v>69</v>
      </c>
      <c r="C4863">
        <v>8989697390</v>
      </c>
      <c r="D4863" s="2">
        <v>1</v>
      </c>
      <c r="E4863" t="str">
        <f>"4574674200878684"</f>
        <v>4574674200878684</v>
      </c>
      <c r="F4863" t="str">
        <f>"548"</f>
        <v>548</v>
      </c>
      <c r="G4863">
        <v>1</v>
      </c>
      <c r="H4863">
        <v>2023</v>
      </c>
      <c r="I4863" t="s">
        <v>4978</v>
      </c>
    </row>
    <row r="4864" spans="1:9" x14ac:dyDescent="0.3">
      <c r="A4864" t="s">
        <v>10168</v>
      </c>
      <c r="B4864" t="s">
        <v>69</v>
      </c>
      <c r="C4864">
        <v>8989697390</v>
      </c>
      <c r="D4864" s="2">
        <v>1</v>
      </c>
      <c r="E4864" t="str">
        <f>"4574674200878833"</f>
        <v>4574674200878833</v>
      </c>
      <c r="F4864" t="str">
        <f>"535"</f>
        <v>535</v>
      </c>
      <c r="G4864">
        <v>1</v>
      </c>
      <c r="H4864">
        <v>2023</v>
      </c>
      <c r="I4864" t="s">
        <v>4979</v>
      </c>
    </row>
    <row r="4865" spans="1:9" x14ac:dyDescent="0.3">
      <c r="A4865" t="s">
        <v>10168</v>
      </c>
      <c r="B4865" t="s">
        <v>69</v>
      </c>
      <c r="C4865">
        <v>8989697390</v>
      </c>
      <c r="D4865" s="2">
        <v>1</v>
      </c>
      <c r="E4865" t="str">
        <f>"4574674200878841"</f>
        <v>4574674200878841</v>
      </c>
      <c r="F4865" t="str">
        <f>"899"</f>
        <v>899</v>
      </c>
      <c r="G4865">
        <v>1</v>
      </c>
      <c r="H4865">
        <v>2023</v>
      </c>
      <c r="I4865" t="s">
        <v>4980</v>
      </c>
    </row>
    <row r="4866" spans="1:9" x14ac:dyDescent="0.3">
      <c r="A4866" t="s">
        <v>10168</v>
      </c>
      <c r="B4866" t="s">
        <v>69</v>
      </c>
      <c r="C4866">
        <v>8989697390</v>
      </c>
      <c r="D4866" s="2">
        <v>1</v>
      </c>
      <c r="E4866" t="str">
        <f>"4574674200878866"</f>
        <v>4574674200878866</v>
      </c>
      <c r="F4866" t="str">
        <f>"873"</f>
        <v>873</v>
      </c>
      <c r="G4866">
        <v>1</v>
      </c>
      <c r="H4866">
        <v>2023</v>
      </c>
      <c r="I4866" t="s">
        <v>4981</v>
      </c>
    </row>
    <row r="4867" spans="1:9" x14ac:dyDescent="0.3">
      <c r="A4867" t="s">
        <v>10168</v>
      </c>
      <c r="B4867" t="s">
        <v>69</v>
      </c>
      <c r="C4867">
        <v>8989697390</v>
      </c>
      <c r="D4867" s="2">
        <v>1</v>
      </c>
      <c r="E4867" t="str">
        <f>"4574674200878874"</f>
        <v>4574674200878874</v>
      </c>
      <c r="F4867" t="str">
        <f>"066"</f>
        <v>066</v>
      </c>
      <c r="G4867">
        <v>1</v>
      </c>
      <c r="H4867">
        <v>2023</v>
      </c>
      <c r="I4867" t="s">
        <v>4982</v>
      </c>
    </row>
    <row r="4868" spans="1:9" x14ac:dyDescent="0.3">
      <c r="A4868" t="s">
        <v>10168</v>
      </c>
      <c r="B4868" t="s">
        <v>69</v>
      </c>
      <c r="C4868">
        <v>8989697390</v>
      </c>
      <c r="D4868" s="2">
        <v>1</v>
      </c>
      <c r="E4868" t="str">
        <f>"4574674200878734"</f>
        <v>4574674200878734</v>
      </c>
      <c r="F4868" t="str">
        <f>"653"</f>
        <v>653</v>
      </c>
      <c r="G4868">
        <v>1</v>
      </c>
      <c r="H4868">
        <v>2023</v>
      </c>
      <c r="I4868" t="s">
        <v>4983</v>
      </c>
    </row>
    <row r="4869" spans="1:9" x14ac:dyDescent="0.3">
      <c r="A4869" t="s">
        <v>10169</v>
      </c>
      <c r="B4869" t="s">
        <v>70</v>
      </c>
      <c r="C4869">
        <v>8989697390</v>
      </c>
      <c r="D4869" s="2">
        <v>1</v>
      </c>
      <c r="E4869" t="str">
        <f>"4574674200878924"</f>
        <v>4574674200878924</v>
      </c>
      <c r="F4869" t="str">
        <f>"307"</f>
        <v>307</v>
      </c>
      <c r="G4869">
        <v>1</v>
      </c>
      <c r="H4869">
        <v>2023</v>
      </c>
      <c r="I4869" t="s">
        <v>4984</v>
      </c>
    </row>
    <row r="4870" spans="1:9" x14ac:dyDescent="0.3">
      <c r="A4870" t="s">
        <v>10169</v>
      </c>
      <c r="B4870" t="s">
        <v>70</v>
      </c>
      <c r="C4870">
        <v>8989697390</v>
      </c>
      <c r="D4870" s="2">
        <v>1</v>
      </c>
      <c r="E4870" t="str">
        <f>"4574674200878973"</f>
        <v>4574674200878973</v>
      </c>
      <c r="F4870" t="str">
        <f>"875"</f>
        <v>875</v>
      </c>
      <c r="G4870">
        <v>1</v>
      </c>
      <c r="H4870">
        <v>2023</v>
      </c>
      <c r="I4870" t="s">
        <v>4985</v>
      </c>
    </row>
    <row r="4871" spans="1:9" x14ac:dyDescent="0.3">
      <c r="A4871" t="s">
        <v>10169</v>
      </c>
      <c r="B4871" t="s">
        <v>70</v>
      </c>
      <c r="C4871">
        <v>8989697390</v>
      </c>
      <c r="D4871" s="2">
        <v>1</v>
      </c>
      <c r="E4871" t="str">
        <f>"4574674200878981"</f>
        <v>4574674200878981</v>
      </c>
      <c r="F4871" t="str">
        <f>"951"</f>
        <v>951</v>
      </c>
      <c r="G4871">
        <v>1</v>
      </c>
      <c r="H4871">
        <v>2023</v>
      </c>
      <c r="I4871" t="s">
        <v>4986</v>
      </c>
    </row>
    <row r="4872" spans="1:9" x14ac:dyDescent="0.3">
      <c r="A4872" t="s">
        <v>10169</v>
      </c>
      <c r="B4872" t="s">
        <v>70</v>
      </c>
      <c r="C4872">
        <v>8989697390</v>
      </c>
      <c r="D4872" s="2">
        <v>1</v>
      </c>
      <c r="E4872" t="str">
        <f>"4574674200879039"</f>
        <v>4574674200879039</v>
      </c>
      <c r="F4872" t="str">
        <f>"346"</f>
        <v>346</v>
      </c>
      <c r="G4872">
        <v>1</v>
      </c>
      <c r="H4872">
        <v>2023</v>
      </c>
      <c r="I4872" t="s">
        <v>4987</v>
      </c>
    </row>
    <row r="4873" spans="1:9" x14ac:dyDescent="0.3">
      <c r="A4873" t="s">
        <v>10169</v>
      </c>
      <c r="B4873" t="s">
        <v>70</v>
      </c>
      <c r="C4873">
        <v>8989697390</v>
      </c>
      <c r="D4873" s="2">
        <v>1</v>
      </c>
      <c r="E4873" t="str">
        <f>"4574674200879211"</f>
        <v>4574674200879211</v>
      </c>
      <c r="F4873" t="str">
        <f>"237"</f>
        <v>237</v>
      </c>
      <c r="G4873">
        <v>1</v>
      </c>
      <c r="H4873">
        <v>2023</v>
      </c>
      <c r="I4873" t="s">
        <v>4988</v>
      </c>
    </row>
    <row r="4874" spans="1:9" x14ac:dyDescent="0.3">
      <c r="A4874" t="s">
        <v>10169</v>
      </c>
      <c r="B4874" t="s">
        <v>70</v>
      </c>
      <c r="C4874">
        <v>8989697390</v>
      </c>
      <c r="D4874" s="2">
        <v>1</v>
      </c>
      <c r="E4874" t="str">
        <f>"4574674200879054"</f>
        <v>4574674200879054</v>
      </c>
      <c r="F4874" t="str">
        <f>"176"</f>
        <v>176</v>
      </c>
      <c r="G4874">
        <v>1</v>
      </c>
      <c r="H4874">
        <v>2023</v>
      </c>
      <c r="I4874" t="s">
        <v>4989</v>
      </c>
    </row>
    <row r="4875" spans="1:9" x14ac:dyDescent="0.3">
      <c r="A4875" t="s">
        <v>10169</v>
      </c>
      <c r="B4875" t="s">
        <v>70</v>
      </c>
      <c r="C4875">
        <v>8989697390</v>
      </c>
      <c r="D4875" s="2">
        <v>1</v>
      </c>
      <c r="E4875" t="str">
        <f>"4574674200879070"</f>
        <v>4574674200879070</v>
      </c>
      <c r="F4875" t="str">
        <f>"855"</f>
        <v>855</v>
      </c>
      <c r="G4875">
        <v>1</v>
      </c>
      <c r="H4875">
        <v>2023</v>
      </c>
      <c r="I4875" t="s">
        <v>4990</v>
      </c>
    </row>
    <row r="4876" spans="1:9" x14ac:dyDescent="0.3">
      <c r="A4876" t="s">
        <v>10169</v>
      </c>
      <c r="B4876" t="s">
        <v>70</v>
      </c>
      <c r="C4876">
        <v>8989697390</v>
      </c>
      <c r="D4876" s="2">
        <v>1</v>
      </c>
      <c r="E4876" t="str">
        <f>"4574674200879252"</f>
        <v>4574674200879252</v>
      </c>
      <c r="F4876" t="str">
        <f>"168"</f>
        <v>168</v>
      </c>
      <c r="G4876">
        <v>1</v>
      </c>
      <c r="H4876">
        <v>2023</v>
      </c>
      <c r="I4876" t="s">
        <v>4991</v>
      </c>
    </row>
    <row r="4877" spans="1:9" x14ac:dyDescent="0.3">
      <c r="A4877" t="s">
        <v>10169</v>
      </c>
      <c r="B4877" t="s">
        <v>70</v>
      </c>
      <c r="C4877">
        <v>8989697390</v>
      </c>
      <c r="D4877" s="2">
        <v>1</v>
      </c>
      <c r="E4877" t="str">
        <f>"4574674200879146"</f>
        <v>4574674200879146</v>
      </c>
      <c r="F4877" t="str">
        <f>"180"</f>
        <v>180</v>
      </c>
      <c r="G4877">
        <v>1</v>
      </c>
      <c r="H4877">
        <v>2023</v>
      </c>
      <c r="I4877" t="s">
        <v>4992</v>
      </c>
    </row>
    <row r="4878" spans="1:9" x14ac:dyDescent="0.3">
      <c r="A4878" t="s">
        <v>10169</v>
      </c>
      <c r="B4878" t="s">
        <v>70</v>
      </c>
      <c r="C4878">
        <v>8989697390</v>
      </c>
      <c r="D4878" s="2">
        <v>1</v>
      </c>
      <c r="E4878" t="str">
        <f>"4574674200879161"</f>
        <v>4574674200879161</v>
      </c>
      <c r="F4878" t="str">
        <f>"616"</f>
        <v>616</v>
      </c>
      <c r="G4878">
        <v>1</v>
      </c>
      <c r="H4878">
        <v>2023</v>
      </c>
      <c r="I4878" t="s">
        <v>4993</v>
      </c>
    </row>
    <row r="4879" spans="1:9" x14ac:dyDescent="0.3">
      <c r="A4879" t="s">
        <v>10128</v>
      </c>
      <c r="B4879" t="s">
        <v>71</v>
      </c>
      <c r="C4879">
        <v>8989697390</v>
      </c>
      <c r="D4879" s="2">
        <v>1</v>
      </c>
      <c r="E4879" t="str">
        <f>"4574674200879435"</f>
        <v>4574674200879435</v>
      </c>
      <c r="F4879" t="str">
        <f>"150"</f>
        <v>150</v>
      </c>
      <c r="G4879">
        <v>1</v>
      </c>
      <c r="H4879">
        <v>2023</v>
      </c>
      <c r="I4879" t="s">
        <v>4994</v>
      </c>
    </row>
    <row r="4880" spans="1:9" x14ac:dyDescent="0.3">
      <c r="A4880" t="s">
        <v>10128</v>
      </c>
      <c r="B4880" t="s">
        <v>71</v>
      </c>
      <c r="C4880">
        <v>8989697390</v>
      </c>
      <c r="D4880" s="2">
        <v>1</v>
      </c>
      <c r="E4880" t="str">
        <f>"4574674200879401"</f>
        <v>4574674200879401</v>
      </c>
      <c r="F4880" t="str">
        <f>"409"</f>
        <v>409</v>
      </c>
      <c r="G4880">
        <v>1</v>
      </c>
      <c r="H4880">
        <v>2023</v>
      </c>
      <c r="I4880" t="s">
        <v>4995</v>
      </c>
    </row>
    <row r="4881" spans="1:9" x14ac:dyDescent="0.3">
      <c r="A4881" t="s">
        <v>10128</v>
      </c>
      <c r="B4881" t="s">
        <v>71</v>
      </c>
      <c r="C4881">
        <v>8989697390</v>
      </c>
      <c r="D4881" s="2">
        <v>1</v>
      </c>
      <c r="E4881" t="str">
        <f>"4574674200879443"</f>
        <v>4574674200879443</v>
      </c>
      <c r="F4881" t="str">
        <f>"016"</f>
        <v>016</v>
      </c>
      <c r="G4881">
        <v>1</v>
      </c>
      <c r="H4881">
        <v>2023</v>
      </c>
      <c r="I4881" t="s">
        <v>4996</v>
      </c>
    </row>
    <row r="4882" spans="1:9" x14ac:dyDescent="0.3">
      <c r="A4882" t="s">
        <v>10128</v>
      </c>
      <c r="B4882" t="s">
        <v>71</v>
      </c>
      <c r="C4882">
        <v>8989697390</v>
      </c>
      <c r="D4882" s="2">
        <v>1</v>
      </c>
      <c r="E4882" t="str">
        <f>"4574674200879328"</f>
        <v>4574674200879328</v>
      </c>
      <c r="F4882" t="str">
        <f>"892"</f>
        <v>892</v>
      </c>
      <c r="G4882">
        <v>1</v>
      </c>
      <c r="H4882">
        <v>2023</v>
      </c>
      <c r="I4882" t="s">
        <v>4997</v>
      </c>
    </row>
    <row r="4883" spans="1:9" x14ac:dyDescent="0.3">
      <c r="A4883" t="s">
        <v>10128</v>
      </c>
      <c r="B4883" t="s">
        <v>71</v>
      </c>
      <c r="C4883">
        <v>8989697390</v>
      </c>
      <c r="D4883" s="2">
        <v>1</v>
      </c>
      <c r="E4883" t="str">
        <f>"4574674200879526"</f>
        <v>4574674200879526</v>
      </c>
      <c r="F4883" t="str">
        <f>"751"</f>
        <v>751</v>
      </c>
      <c r="G4883">
        <v>1</v>
      </c>
      <c r="H4883">
        <v>2023</v>
      </c>
      <c r="I4883" t="s">
        <v>4998</v>
      </c>
    </row>
    <row r="4884" spans="1:9" x14ac:dyDescent="0.3">
      <c r="A4884" t="s">
        <v>10128</v>
      </c>
      <c r="B4884" t="s">
        <v>71</v>
      </c>
      <c r="C4884">
        <v>8989697390</v>
      </c>
      <c r="D4884" s="2">
        <v>1</v>
      </c>
      <c r="E4884" t="str">
        <f>"4574674200879484"</f>
        <v>4574674200879484</v>
      </c>
      <c r="F4884" t="str">
        <f>"945"</f>
        <v>945</v>
      </c>
      <c r="G4884">
        <v>1</v>
      </c>
      <c r="H4884">
        <v>2023</v>
      </c>
      <c r="I4884" t="s">
        <v>4999</v>
      </c>
    </row>
    <row r="4885" spans="1:9" x14ac:dyDescent="0.3">
      <c r="A4885" t="s">
        <v>10128</v>
      </c>
      <c r="B4885" t="s">
        <v>71</v>
      </c>
      <c r="C4885">
        <v>8989697390</v>
      </c>
      <c r="D4885" s="2">
        <v>1</v>
      </c>
      <c r="E4885" t="str">
        <f>"4574674200879369"</f>
        <v>4574674200879369</v>
      </c>
      <c r="F4885" t="str">
        <f>"822"</f>
        <v>822</v>
      </c>
      <c r="G4885">
        <v>1</v>
      </c>
      <c r="H4885">
        <v>2023</v>
      </c>
      <c r="I4885" t="s">
        <v>5000</v>
      </c>
    </row>
    <row r="4886" spans="1:9" x14ac:dyDescent="0.3">
      <c r="A4886" t="s">
        <v>10128</v>
      </c>
      <c r="B4886" t="s">
        <v>71</v>
      </c>
      <c r="C4886">
        <v>8989697390</v>
      </c>
      <c r="D4886" s="2">
        <v>1</v>
      </c>
      <c r="E4886" t="str">
        <f>"4574674200879674"</f>
        <v>4574674200879674</v>
      </c>
      <c r="F4886" t="str">
        <f>"162"</f>
        <v>162</v>
      </c>
      <c r="G4886">
        <v>1</v>
      </c>
      <c r="H4886">
        <v>2023</v>
      </c>
      <c r="I4886" t="s">
        <v>5001</v>
      </c>
    </row>
    <row r="4887" spans="1:9" x14ac:dyDescent="0.3">
      <c r="A4887" t="s">
        <v>10128</v>
      </c>
      <c r="B4887" t="s">
        <v>71</v>
      </c>
      <c r="C4887">
        <v>8989697390</v>
      </c>
      <c r="D4887" s="2">
        <v>1</v>
      </c>
      <c r="E4887" t="str">
        <f>"4574674200879583"</f>
        <v>4574674200879583</v>
      </c>
      <c r="F4887" t="str">
        <f>"972"</f>
        <v>972</v>
      </c>
      <c r="G4887">
        <v>1</v>
      </c>
      <c r="H4887">
        <v>2023</v>
      </c>
      <c r="I4887" t="s">
        <v>5002</v>
      </c>
    </row>
    <row r="4888" spans="1:9" x14ac:dyDescent="0.3">
      <c r="A4888" t="s">
        <v>10128</v>
      </c>
      <c r="B4888" t="s">
        <v>71</v>
      </c>
      <c r="C4888">
        <v>8989697390</v>
      </c>
      <c r="D4888" s="2">
        <v>1</v>
      </c>
      <c r="E4888" t="str">
        <f>"4574674200879666"</f>
        <v>4574674200879666</v>
      </c>
      <c r="F4888" t="str">
        <f>"840"</f>
        <v>840</v>
      </c>
      <c r="G4888">
        <v>1</v>
      </c>
      <c r="H4888">
        <v>2023</v>
      </c>
      <c r="I4888" t="s">
        <v>5003</v>
      </c>
    </row>
    <row r="4889" spans="1:9" x14ac:dyDescent="0.3">
      <c r="A4889" t="s">
        <v>10129</v>
      </c>
      <c r="B4889" t="s">
        <v>72</v>
      </c>
      <c r="C4889">
        <v>8989697390</v>
      </c>
      <c r="D4889" s="2">
        <v>1</v>
      </c>
      <c r="E4889" t="str">
        <f>"4574674200879658"</f>
        <v>4574674200879658</v>
      </c>
      <c r="F4889" t="str">
        <f>"242"</f>
        <v>242</v>
      </c>
      <c r="G4889">
        <v>1</v>
      </c>
      <c r="H4889">
        <v>2023</v>
      </c>
      <c r="I4889" t="s">
        <v>5004</v>
      </c>
    </row>
    <row r="4890" spans="1:9" x14ac:dyDescent="0.3">
      <c r="A4890" t="s">
        <v>10129</v>
      </c>
      <c r="B4890" t="s">
        <v>72</v>
      </c>
      <c r="C4890">
        <v>8989697390</v>
      </c>
      <c r="D4890" s="2">
        <v>1</v>
      </c>
      <c r="E4890" t="str">
        <f>"4574674200879641"</f>
        <v>4574674200879641</v>
      </c>
      <c r="F4890" t="str">
        <f>"901"</f>
        <v>901</v>
      </c>
      <c r="G4890">
        <v>1</v>
      </c>
      <c r="H4890">
        <v>2023</v>
      </c>
      <c r="I4890" t="s">
        <v>5005</v>
      </c>
    </row>
    <row r="4891" spans="1:9" x14ac:dyDescent="0.3">
      <c r="A4891" t="s">
        <v>10129</v>
      </c>
      <c r="B4891" t="s">
        <v>72</v>
      </c>
      <c r="C4891">
        <v>8989697390</v>
      </c>
      <c r="D4891" s="2">
        <v>1</v>
      </c>
      <c r="E4891" t="str">
        <f>"4574674200879849"</f>
        <v>4574674200879849</v>
      </c>
      <c r="F4891" t="str">
        <f>"328"</f>
        <v>328</v>
      </c>
      <c r="G4891">
        <v>1</v>
      </c>
      <c r="H4891">
        <v>2023</v>
      </c>
      <c r="I4891" t="s">
        <v>5006</v>
      </c>
    </row>
    <row r="4892" spans="1:9" x14ac:dyDescent="0.3">
      <c r="A4892" t="s">
        <v>10129</v>
      </c>
      <c r="B4892" t="s">
        <v>72</v>
      </c>
      <c r="C4892">
        <v>8989697390</v>
      </c>
      <c r="D4892" s="2">
        <v>1</v>
      </c>
      <c r="E4892" t="str">
        <f>"4574674200879872"</f>
        <v>4574674200879872</v>
      </c>
      <c r="F4892" t="str">
        <f>"722"</f>
        <v>722</v>
      </c>
      <c r="G4892">
        <v>1</v>
      </c>
      <c r="H4892">
        <v>2023</v>
      </c>
      <c r="I4892" t="s">
        <v>5007</v>
      </c>
    </row>
    <row r="4893" spans="1:9" x14ac:dyDescent="0.3">
      <c r="A4893" t="s">
        <v>10129</v>
      </c>
      <c r="B4893" t="s">
        <v>72</v>
      </c>
      <c r="C4893">
        <v>8989697390</v>
      </c>
      <c r="D4893" s="2">
        <v>1</v>
      </c>
      <c r="E4893" t="str">
        <f>"4574674200879732"</f>
        <v>4574674200879732</v>
      </c>
      <c r="F4893" t="str">
        <f>"446"</f>
        <v>446</v>
      </c>
      <c r="G4893">
        <v>1</v>
      </c>
      <c r="H4893">
        <v>2023</v>
      </c>
      <c r="I4893" t="s">
        <v>5008</v>
      </c>
    </row>
    <row r="4894" spans="1:9" x14ac:dyDescent="0.3">
      <c r="A4894" t="s">
        <v>10129</v>
      </c>
      <c r="B4894" t="s">
        <v>72</v>
      </c>
      <c r="C4894">
        <v>8989697390</v>
      </c>
      <c r="D4894" s="2">
        <v>1</v>
      </c>
      <c r="E4894" t="str">
        <f>"4574674200880003"</f>
        <v>4574674200880003</v>
      </c>
      <c r="F4894" t="str">
        <f>"267"</f>
        <v>267</v>
      </c>
      <c r="G4894">
        <v>1</v>
      </c>
      <c r="H4894">
        <v>2023</v>
      </c>
      <c r="I4894" t="s">
        <v>5009</v>
      </c>
    </row>
    <row r="4895" spans="1:9" x14ac:dyDescent="0.3">
      <c r="A4895" t="s">
        <v>10129</v>
      </c>
      <c r="B4895" t="s">
        <v>72</v>
      </c>
      <c r="C4895">
        <v>8989697390</v>
      </c>
      <c r="D4895" s="2">
        <v>1</v>
      </c>
      <c r="E4895" t="str">
        <f>"4574674200880011"</f>
        <v>4574674200880011</v>
      </c>
      <c r="F4895" t="str">
        <f>"511"</f>
        <v>511</v>
      </c>
      <c r="G4895">
        <v>1</v>
      </c>
      <c r="H4895">
        <v>2023</v>
      </c>
      <c r="I4895" t="s">
        <v>5010</v>
      </c>
    </row>
    <row r="4896" spans="1:9" x14ac:dyDescent="0.3">
      <c r="A4896" t="s">
        <v>10129</v>
      </c>
      <c r="B4896" t="s">
        <v>72</v>
      </c>
      <c r="C4896">
        <v>8989697390</v>
      </c>
      <c r="D4896" s="2">
        <v>1</v>
      </c>
      <c r="E4896" t="str">
        <f>"4574674200879922"</f>
        <v>4574674200879922</v>
      </c>
      <c r="F4896" t="str">
        <f>"097"</f>
        <v>097</v>
      </c>
      <c r="G4896">
        <v>1</v>
      </c>
      <c r="H4896">
        <v>2023</v>
      </c>
      <c r="I4896" t="s">
        <v>5011</v>
      </c>
    </row>
    <row r="4897" spans="1:9" x14ac:dyDescent="0.3">
      <c r="A4897" t="s">
        <v>10129</v>
      </c>
      <c r="B4897" t="s">
        <v>72</v>
      </c>
      <c r="C4897">
        <v>8989697390</v>
      </c>
      <c r="D4897" s="2">
        <v>1</v>
      </c>
      <c r="E4897" t="str">
        <f>"4574674200880029"</f>
        <v>4574674200880029</v>
      </c>
      <c r="F4897" t="str">
        <f>"829"</f>
        <v>829</v>
      </c>
      <c r="G4897">
        <v>1</v>
      </c>
      <c r="H4897">
        <v>2023</v>
      </c>
      <c r="I4897" t="s">
        <v>5012</v>
      </c>
    </row>
    <row r="4898" spans="1:9" x14ac:dyDescent="0.3">
      <c r="A4898" t="s">
        <v>10129</v>
      </c>
      <c r="B4898" t="s">
        <v>72</v>
      </c>
      <c r="C4898">
        <v>8989697390</v>
      </c>
      <c r="D4898" s="2">
        <v>1</v>
      </c>
      <c r="E4898" t="str">
        <f>"4574674200880037"</f>
        <v>4574674200880037</v>
      </c>
      <c r="F4898" t="str">
        <f>"784"</f>
        <v>784</v>
      </c>
      <c r="G4898">
        <v>1</v>
      </c>
      <c r="H4898">
        <v>2023</v>
      </c>
      <c r="I4898" t="s">
        <v>5013</v>
      </c>
    </row>
    <row r="4899" spans="1:9" x14ac:dyDescent="0.3">
      <c r="A4899" t="s">
        <v>10170</v>
      </c>
      <c r="B4899" t="s">
        <v>73</v>
      </c>
      <c r="C4899">
        <v>8989697390</v>
      </c>
      <c r="D4899" s="2">
        <v>1</v>
      </c>
      <c r="E4899" t="str">
        <f>"4574674200880078"</f>
        <v>4574674200880078</v>
      </c>
      <c r="F4899" t="str">
        <f>"228"</f>
        <v>228</v>
      </c>
      <c r="G4899">
        <v>1</v>
      </c>
      <c r="H4899">
        <v>2023</v>
      </c>
      <c r="I4899" t="s">
        <v>5014</v>
      </c>
    </row>
    <row r="4900" spans="1:9" x14ac:dyDescent="0.3">
      <c r="A4900" t="s">
        <v>10170</v>
      </c>
      <c r="B4900" t="s">
        <v>73</v>
      </c>
      <c r="C4900">
        <v>8989697390</v>
      </c>
      <c r="D4900" s="2">
        <v>1</v>
      </c>
      <c r="E4900" t="str">
        <f>"4574674200879963"</f>
        <v>4574674200879963</v>
      </c>
      <c r="F4900" t="str">
        <f>"897"</f>
        <v>897</v>
      </c>
      <c r="G4900">
        <v>1</v>
      </c>
      <c r="H4900">
        <v>2023</v>
      </c>
      <c r="I4900" t="s">
        <v>5015</v>
      </c>
    </row>
    <row r="4901" spans="1:9" x14ac:dyDescent="0.3">
      <c r="A4901" t="s">
        <v>10170</v>
      </c>
      <c r="B4901" t="s">
        <v>73</v>
      </c>
      <c r="C4901">
        <v>8989697390</v>
      </c>
      <c r="D4901" s="2">
        <v>1</v>
      </c>
      <c r="E4901" t="str">
        <f>"4574674200880169"</f>
        <v>4574674200880169</v>
      </c>
      <c r="F4901" t="str">
        <f>"143"</f>
        <v>143</v>
      </c>
      <c r="G4901">
        <v>1</v>
      </c>
      <c r="H4901">
        <v>2023</v>
      </c>
      <c r="I4901" t="s">
        <v>5016</v>
      </c>
    </row>
    <row r="4902" spans="1:9" x14ac:dyDescent="0.3">
      <c r="A4902" t="s">
        <v>10170</v>
      </c>
      <c r="B4902" t="s">
        <v>73</v>
      </c>
      <c r="C4902">
        <v>8989697390</v>
      </c>
      <c r="D4902" s="2">
        <v>1</v>
      </c>
      <c r="E4902" t="str">
        <f>"4574674200880177"</f>
        <v>4574674200880177</v>
      </c>
      <c r="F4902" t="str">
        <f>"050"</f>
        <v>050</v>
      </c>
      <c r="G4902">
        <v>1</v>
      </c>
      <c r="H4902">
        <v>2023</v>
      </c>
      <c r="I4902" t="s">
        <v>5017</v>
      </c>
    </row>
    <row r="4903" spans="1:9" x14ac:dyDescent="0.3">
      <c r="A4903" t="s">
        <v>10170</v>
      </c>
      <c r="B4903" t="s">
        <v>73</v>
      </c>
      <c r="C4903">
        <v>8989697390</v>
      </c>
      <c r="D4903" s="2">
        <v>1</v>
      </c>
      <c r="E4903" t="str">
        <f>"4574674200880409"</f>
        <v>4574674200880409</v>
      </c>
      <c r="F4903" t="str">
        <f>"676"</f>
        <v>676</v>
      </c>
      <c r="G4903">
        <v>1</v>
      </c>
      <c r="H4903">
        <v>2023</v>
      </c>
      <c r="I4903" t="s">
        <v>5018</v>
      </c>
    </row>
    <row r="4904" spans="1:9" x14ac:dyDescent="0.3">
      <c r="A4904" t="s">
        <v>10170</v>
      </c>
      <c r="B4904" t="s">
        <v>73</v>
      </c>
      <c r="C4904">
        <v>8989697390</v>
      </c>
      <c r="D4904" s="2">
        <v>1</v>
      </c>
      <c r="E4904" t="str">
        <f>"4574674200880425"</f>
        <v>4574674200880425</v>
      </c>
      <c r="F4904" t="str">
        <f>"282"</f>
        <v>282</v>
      </c>
      <c r="G4904">
        <v>1</v>
      </c>
      <c r="H4904">
        <v>2023</v>
      </c>
      <c r="I4904" t="s">
        <v>5019</v>
      </c>
    </row>
    <row r="4905" spans="1:9" x14ac:dyDescent="0.3">
      <c r="A4905" t="s">
        <v>10170</v>
      </c>
      <c r="B4905" t="s">
        <v>73</v>
      </c>
      <c r="C4905">
        <v>8989697390</v>
      </c>
      <c r="D4905" s="2">
        <v>1</v>
      </c>
      <c r="E4905" t="str">
        <f>"4574674200880458"</f>
        <v>4574674200880458</v>
      </c>
      <c r="F4905" t="str">
        <f>"086"</f>
        <v>086</v>
      </c>
      <c r="G4905">
        <v>1</v>
      </c>
      <c r="H4905">
        <v>2023</v>
      </c>
      <c r="I4905" t="s">
        <v>5020</v>
      </c>
    </row>
    <row r="4906" spans="1:9" x14ac:dyDescent="0.3">
      <c r="A4906" t="s">
        <v>10170</v>
      </c>
      <c r="B4906" t="s">
        <v>73</v>
      </c>
      <c r="C4906">
        <v>8989697390</v>
      </c>
      <c r="D4906" s="2">
        <v>1</v>
      </c>
      <c r="E4906" t="str">
        <f>"4574674200880482"</f>
        <v>4574674200880482</v>
      </c>
      <c r="F4906" t="str">
        <f>"861"</f>
        <v>861</v>
      </c>
      <c r="G4906">
        <v>1</v>
      </c>
      <c r="H4906">
        <v>2023</v>
      </c>
      <c r="I4906" t="s">
        <v>5021</v>
      </c>
    </row>
    <row r="4907" spans="1:9" x14ac:dyDescent="0.3">
      <c r="A4907" t="s">
        <v>10170</v>
      </c>
      <c r="B4907" t="s">
        <v>73</v>
      </c>
      <c r="C4907">
        <v>8989697390</v>
      </c>
      <c r="D4907" s="2">
        <v>1</v>
      </c>
      <c r="E4907" t="str">
        <f>"4574674200880243"</f>
        <v>4574674200880243</v>
      </c>
      <c r="F4907" t="str">
        <f>"636"</f>
        <v>636</v>
      </c>
      <c r="G4907">
        <v>1</v>
      </c>
      <c r="H4907">
        <v>2023</v>
      </c>
      <c r="I4907" t="s">
        <v>5022</v>
      </c>
    </row>
    <row r="4908" spans="1:9" x14ac:dyDescent="0.3">
      <c r="A4908" t="s">
        <v>10170</v>
      </c>
      <c r="B4908" t="s">
        <v>73</v>
      </c>
      <c r="C4908">
        <v>8989697390</v>
      </c>
      <c r="D4908" s="2">
        <v>1</v>
      </c>
      <c r="E4908" t="str">
        <f>"4574674200880532"</f>
        <v>4574674200880532</v>
      </c>
      <c r="F4908" t="str">
        <f>"232"</f>
        <v>232</v>
      </c>
      <c r="G4908">
        <v>1</v>
      </c>
      <c r="H4908">
        <v>2023</v>
      </c>
      <c r="I4908" t="s">
        <v>5023</v>
      </c>
    </row>
    <row r="4909" spans="1:9" x14ac:dyDescent="0.3">
      <c r="A4909" t="s">
        <v>10171</v>
      </c>
      <c r="B4909" t="s">
        <v>74</v>
      </c>
      <c r="C4909">
        <v>8989697390</v>
      </c>
      <c r="D4909" s="2">
        <v>1</v>
      </c>
      <c r="E4909" t="str">
        <f>"4574674200880276"</f>
        <v>4574674200880276</v>
      </c>
      <c r="F4909" t="str">
        <f>"133"</f>
        <v>133</v>
      </c>
      <c r="G4909">
        <v>1</v>
      </c>
      <c r="H4909">
        <v>2023</v>
      </c>
      <c r="I4909" t="s">
        <v>5024</v>
      </c>
    </row>
    <row r="4910" spans="1:9" x14ac:dyDescent="0.3">
      <c r="A4910" t="s">
        <v>10171</v>
      </c>
      <c r="B4910" t="s">
        <v>74</v>
      </c>
      <c r="C4910">
        <v>8989697390</v>
      </c>
      <c r="D4910" s="2">
        <v>1</v>
      </c>
      <c r="E4910" t="str">
        <f>"4574674200880599"</f>
        <v>4574674200880599</v>
      </c>
      <c r="F4910" t="str">
        <f>"554"</f>
        <v>554</v>
      </c>
      <c r="G4910">
        <v>1</v>
      </c>
      <c r="H4910">
        <v>2023</v>
      </c>
      <c r="I4910" t="s">
        <v>5025</v>
      </c>
    </row>
    <row r="4911" spans="1:9" x14ac:dyDescent="0.3">
      <c r="A4911" t="s">
        <v>10171</v>
      </c>
      <c r="B4911" t="s">
        <v>74</v>
      </c>
      <c r="C4911">
        <v>8989697390</v>
      </c>
      <c r="D4911" s="2">
        <v>1</v>
      </c>
      <c r="E4911" t="str">
        <f>"4574674200880573"</f>
        <v>4574674200880573</v>
      </c>
      <c r="F4911" t="str">
        <f>"117"</f>
        <v>117</v>
      </c>
      <c r="G4911">
        <v>1</v>
      </c>
      <c r="H4911">
        <v>2023</v>
      </c>
      <c r="I4911" t="s">
        <v>5026</v>
      </c>
    </row>
    <row r="4912" spans="1:9" x14ac:dyDescent="0.3">
      <c r="A4912" t="s">
        <v>10171</v>
      </c>
      <c r="B4912" t="s">
        <v>74</v>
      </c>
      <c r="C4912">
        <v>8989697390</v>
      </c>
      <c r="D4912" s="2">
        <v>1</v>
      </c>
      <c r="E4912" t="str">
        <f>"4574674200880607"</f>
        <v>4574674200880607</v>
      </c>
      <c r="F4912" t="str">
        <f>"386"</f>
        <v>386</v>
      </c>
      <c r="G4912">
        <v>1</v>
      </c>
      <c r="H4912">
        <v>2023</v>
      </c>
      <c r="I4912" t="s">
        <v>5027</v>
      </c>
    </row>
    <row r="4913" spans="1:9" x14ac:dyDescent="0.3">
      <c r="A4913" t="s">
        <v>10171</v>
      </c>
      <c r="B4913" t="s">
        <v>74</v>
      </c>
      <c r="C4913">
        <v>8989697390</v>
      </c>
      <c r="D4913" s="2">
        <v>1</v>
      </c>
      <c r="E4913" t="str">
        <f>"4574674200880656"</f>
        <v>4574674200880656</v>
      </c>
      <c r="F4913" t="str">
        <f>"664"</f>
        <v>664</v>
      </c>
      <c r="G4913">
        <v>1</v>
      </c>
      <c r="H4913">
        <v>2023</v>
      </c>
      <c r="I4913" t="s">
        <v>5028</v>
      </c>
    </row>
    <row r="4914" spans="1:9" x14ac:dyDescent="0.3">
      <c r="A4914" t="s">
        <v>10171</v>
      </c>
      <c r="B4914" t="s">
        <v>74</v>
      </c>
      <c r="C4914">
        <v>8989697390</v>
      </c>
      <c r="D4914" s="2">
        <v>1</v>
      </c>
      <c r="E4914" t="str">
        <f>"4574674200880680"</f>
        <v>4574674200880680</v>
      </c>
      <c r="F4914" t="str">
        <f>"242"</f>
        <v>242</v>
      </c>
      <c r="G4914">
        <v>1</v>
      </c>
      <c r="H4914">
        <v>2023</v>
      </c>
      <c r="I4914" t="s">
        <v>5029</v>
      </c>
    </row>
    <row r="4915" spans="1:9" x14ac:dyDescent="0.3">
      <c r="A4915" t="s">
        <v>10171</v>
      </c>
      <c r="B4915" t="s">
        <v>74</v>
      </c>
      <c r="C4915">
        <v>8989697390</v>
      </c>
      <c r="D4915" s="2">
        <v>1</v>
      </c>
      <c r="E4915" t="str">
        <f>"4574674200880730"</f>
        <v>4574674200880730</v>
      </c>
      <c r="F4915" t="str">
        <f>"995"</f>
        <v>995</v>
      </c>
      <c r="G4915">
        <v>1</v>
      </c>
      <c r="H4915">
        <v>2023</v>
      </c>
      <c r="I4915" t="s">
        <v>5030</v>
      </c>
    </row>
    <row r="4916" spans="1:9" x14ac:dyDescent="0.3">
      <c r="A4916" t="s">
        <v>10171</v>
      </c>
      <c r="B4916" t="s">
        <v>74</v>
      </c>
      <c r="C4916">
        <v>8989697390</v>
      </c>
      <c r="D4916" s="2">
        <v>1</v>
      </c>
      <c r="E4916" t="str">
        <f>"4574674200880755"</f>
        <v>4574674200880755</v>
      </c>
      <c r="F4916" t="str">
        <f>"182"</f>
        <v>182</v>
      </c>
      <c r="G4916">
        <v>1</v>
      </c>
      <c r="H4916">
        <v>2023</v>
      </c>
      <c r="I4916" t="s">
        <v>5031</v>
      </c>
    </row>
    <row r="4917" spans="1:9" x14ac:dyDescent="0.3">
      <c r="A4917" t="s">
        <v>10171</v>
      </c>
      <c r="B4917" t="s">
        <v>74</v>
      </c>
      <c r="C4917">
        <v>8989697390</v>
      </c>
      <c r="D4917" s="2">
        <v>1</v>
      </c>
      <c r="E4917" t="str">
        <f>"4574674200880797"</f>
        <v>4574674200880797</v>
      </c>
      <c r="F4917" t="str">
        <f>"415"</f>
        <v>415</v>
      </c>
      <c r="G4917">
        <v>1</v>
      </c>
      <c r="H4917">
        <v>2023</v>
      </c>
      <c r="I4917" t="s">
        <v>5032</v>
      </c>
    </row>
    <row r="4918" spans="1:9" x14ac:dyDescent="0.3">
      <c r="A4918" t="s">
        <v>10171</v>
      </c>
      <c r="B4918" t="s">
        <v>74</v>
      </c>
      <c r="C4918">
        <v>8989697390</v>
      </c>
      <c r="D4918" s="2">
        <v>1</v>
      </c>
      <c r="E4918" t="str">
        <f>"4574674200880367"</f>
        <v>4574674200880367</v>
      </c>
      <c r="F4918" t="str">
        <f>"203"</f>
        <v>203</v>
      </c>
      <c r="G4918">
        <v>1</v>
      </c>
      <c r="H4918">
        <v>2023</v>
      </c>
      <c r="I4918" t="s">
        <v>5033</v>
      </c>
    </row>
    <row r="4919" spans="1:9" x14ac:dyDescent="0.3">
      <c r="A4919" t="s">
        <v>10172</v>
      </c>
      <c r="B4919" t="s">
        <v>75</v>
      </c>
      <c r="C4919">
        <v>8989697390</v>
      </c>
      <c r="D4919" s="2">
        <v>1</v>
      </c>
      <c r="E4919" t="str">
        <f>"4574674200880821"</f>
        <v>4574674200880821</v>
      </c>
      <c r="F4919" t="str">
        <f>"107"</f>
        <v>107</v>
      </c>
      <c r="G4919">
        <v>1</v>
      </c>
      <c r="H4919">
        <v>2023</v>
      </c>
      <c r="I4919" t="s">
        <v>5034</v>
      </c>
    </row>
    <row r="4920" spans="1:9" x14ac:dyDescent="0.3">
      <c r="A4920" t="s">
        <v>10172</v>
      </c>
      <c r="B4920" t="s">
        <v>75</v>
      </c>
      <c r="C4920">
        <v>8989697390</v>
      </c>
      <c r="D4920" s="2">
        <v>1</v>
      </c>
      <c r="E4920" t="str">
        <f>"4574674200881019"</f>
        <v>4574674200881019</v>
      </c>
      <c r="F4920" t="str">
        <f>"531"</f>
        <v>531</v>
      </c>
      <c r="G4920">
        <v>1</v>
      </c>
      <c r="H4920">
        <v>2023</v>
      </c>
      <c r="I4920" t="s">
        <v>5035</v>
      </c>
    </row>
    <row r="4921" spans="1:9" x14ac:dyDescent="0.3">
      <c r="A4921" t="s">
        <v>10172</v>
      </c>
      <c r="B4921" t="s">
        <v>75</v>
      </c>
      <c r="C4921">
        <v>8989697390</v>
      </c>
      <c r="D4921" s="2">
        <v>1</v>
      </c>
      <c r="E4921" t="str">
        <f>"4574674200880839"</f>
        <v>4574674200880839</v>
      </c>
      <c r="F4921" t="str">
        <f>"100"</f>
        <v>100</v>
      </c>
      <c r="G4921">
        <v>1</v>
      </c>
      <c r="H4921">
        <v>2023</v>
      </c>
      <c r="I4921" t="s">
        <v>5036</v>
      </c>
    </row>
    <row r="4922" spans="1:9" x14ac:dyDescent="0.3">
      <c r="A4922" t="s">
        <v>10172</v>
      </c>
      <c r="B4922" t="s">
        <v>75</v>
      </c>
      <c r="C4922">
        <v>8989697390</v>
      </c>
      <c r="D4922" s="2">
        <v>1</v>
      </c>
      <c r="E4922" t="str">
        <f>"4574674200880888"</f>
        <v>4574674200880888</v>
      </c>
      <c r="F4922" t="str">
        <f>"754"</f>
        <v>754</v>
      </c>
      <c r="G4922">
        <v>1</v>
      </c>
      <c r="H4922">
        <v>2023</v>
      </c>
      <c r="I4922" t="s">
        <v>5037</v>
      </c>
    </row>
    <row r="4923" spans="1:9" x14ac:dyDescent="0.3">
      <c r="A4923" t="s">
        <v>10172</v>
      </c>
      <c r="B4923" t="s">
        <v>75</v>
      </c>
      <c r="C4923">
        <v>8989697390</v>
      </c>
      <c r="D4923" s="2">
        <v>1</v>
      </c>
      <c r="E4923" t="str">
        <f>"4574674200880896"</f>
        <v>4574674200880896</v>
      </c>
      <c r="F4923" t="str">
        <f>"715"</f>
        <v>715</v>
      </c>
      <c r="G4923">
        <v>1</v>
      </c>
      <c r="H4923">
        <v>2023</v>
      </c>
      <c r="I4923" t="s">
        <v>5038</v>
      </c>
    </row>
    <row r="4924" spans="1:9" x14ac:dyDescent="0.3">
      <c r="A4924" t="s">
        <v>10172</v>
      </c>
      <c r="B4924" t="s">
        <v>75</v>
      </c>
      <c r="C4924">
        <v>8989697390</v>
      </c>
      <c r="D4924" s="2">
        <v>1</v>
      </c>
      <c r="E4924" t="str">
        <f>"4574674200880946"</f>
        <v>4574674200880946</v>
      </c>
      <c r="F4924" t="str">
        <f>"261"</f>
        <v>261</v>
      </c>
      <c r="G4924">
        <v>1</v>
      </c>
      <c r="H4924">
        <v>2023</v>
      </c>
      <c r="I4924" t="s">
        <v>5039</v>
      </c>
    </row>
    <row r="4925" spans="1:9" x14ac:dyDescent="0.3">
      <c r="A4925" t="s">
        <v>10172</v>
      </c>
      <c r="B4925" t="s">
        <v>75</v>
      </c>
      <c r="C4925">
        <v>8989697390</v>
      </c>
      <c r="D4925" s="2">
        <v>1</v>
      </c>
      <c r="E4925" t="str">
        <f>"4574674200880987"</f>
        <v>4574674200880987</v>
      </c>
      <c r="F4925" t="str">
        <f>"204"</f>
        <v>204</v>
      </c>
      <c r="G4925">
        <v>1</v>
      </c>
      <c r="H4925">
        <v>2023</v>
      </c>
      <c r="I4925" t="s">
        <v>5040</v>
      </c>
    </row>
    <row r="4926" spans="1:9" x14ac:dyDescent="0.3">
      <c r="A4926" t="s">
        <v>10172</v>
      </c>
      <c r="B4926" t="s">
        <v>75</v>
      </c>
      <c r="C4926">
        <v>8989697390</v>
      </c>
      <c r="D4926" s="2">
        <v>1</v>
      </c>
      <c r="E4926" t="str">
        <f>"4574674200881084"</f>
        <v>4574674200881084</v>
      </c>
      <c r="F4926" t="str">
        <f>"557"</f>
        <v>557</v>
      </c>
      <c r="G4926">
        <v>1</v>
      </c>
      <c r="H4926">
        <v>2023</v>
      </c>
      <c r="I4926" t="s">
        <v>5041</v>
      </c>
    </row>
    <row r="4927" spans="1:9" x14ac:dyDescent="0.3">
      <c r="A4927" t="s">
        <v>10172</v>
      </c>
      <c r="B4927" t="s">
        <v>75</v>
      </c>
      <c r="C4927">
        <v>8989697390</v>
      </c>
      <c r="D4927" s="2">
        <v>1</v>
      </c>
      <c r="E4927" t="str">
        <f>"4574674200881258"</f>
        <v>4574674200881258</v>
      </c>
      <c r="F4927" t="str">
        <f>"279"</f>
        <v>279</v>
      </c>
      <c r="G4927">
        <v>1</v>
      </c>
      <c r="H4927">
        <v>2023</v>
      </c>
      <c r="I4927" t="s">
        <v>5042</v>
      </c>
    </row>
    <row r="4928" spans="1:9" x14ac:dyDescent="0.3">
      <c r="A4928" t="s">
        <v>10172</v>
      </c>
      <c r="B4928" t="s">
        <v>75</v>
      </c>
      <c r="C4928">
        <v>8989697390</v>
      </c>
      <c r="D4928" s="2">
        <v>1</v>
      </c>
      <c r="E4928" t="str">
        <f>"4574674200881241"</f>
        <v>4574674200881241</v>
      </c>
      <c r="F4928" t="str">
        <f>"022"</f>
        <v>022</v>
      </c>
      <c r="G4928">
        <v>1</v>
      </c>
      <c r="H4928">
        <v>2023</v>
      </c>
      <c r="I4928" t="s">
        <v>5043</v>
      </c>
    </row>
    <row r="4929" spans="1:9" x14ac:dyDescent="0.3">
      <c r="A4929" t="s">
        <v>10173</v>
      </c>
      <c r="B4929" t="s">
        <v>76</v>
      </c>
      <c r="C4929">
        <v>8989697390</v>
      </c>
      <c r="D4929" s="2">
        <v>1</v>
      </c>
      <c r="E4929" t="str">
        <f>"4574674200881282"</f>
        <v>4574674200881282</v>
      </c>
      <c r="F4929" t="str">
        <f>"640"</f>
        <v>640</v>
      </c>
      <c r="G4929">
        <v>1</v>
      </c>
      <c r="H4929">
        <v>2023</v>
      </c>
      <c r="I4929" t="s">
        <v>5044</v>
      </c>
    </row>
    <row r="4930" spans="1:9" x14ac:dyDescent="0.3">
      <c r="A4930" t="s">
        <v>10173</v>
      </c>
      <c r="B4930" t="s">
        <v>76</v>
      </c>
      <c r="C4930">
        <v>8989697390</v>
      </c>
      <c r="D4930" s="2">
        <v>1</v>
      </c>
      <c r="E4930" t="str">
        <f>"4574674200881308"</f>
        <v>4574674200881308</v>
      </c>
      <c r="F4930" t="str">
        <f>"726"</f>
        <v>726</v>
      </c>
      <c r="G4930">
        <v>1</v>
      </c>
      <c r="H4930">
        <v>2023</v>
      </c>
      <c r="I4930" t="s">
        <v>5045</v>
      </c>
    </row>
    <row r="4931" spans="1:9" x14ac:dyDescent="0.3">
      <c r="A4931" t="s">
        <v>10173</v>
      </c>
      <c r="B4931" t="s">
        <v>76</v>
      </c>
      <c r="C4931">
        <v>8989697390</v>
      </c>
      <c r="D4931" s="2">
        <v>1</v>
      </c>
      <c r="E4931" t="str">
        <f>"4574674200881175"</f>
        <v>4574674200881175</v>
      </c>
      <c r="F4931" t="str">
        <f>"817"</f>
        <v>817</v>
      </c>
      <c r="G4931">
        <v>1</v>
      </c>
      <c r="H4931">
        <v>2023</v>
      </c>
      <c r="I4931" t="s">
        <v>5046</v>
      </c>
    </row>
    <row r="4932" spans="1:9" x14ac:dyDescent="0.3">
      <c r="A4932" t="s">
        <v>10173</v>
      </c>
      <c r="B4932" t="s">
        <v>76</v>
      </c>
      <c r="C4932">
        <v>8989697390</v>
      </c>
      <c r="D4932" s="2">
        <v>1</v>
      </c>
      <c r="E4932" t="str">
        <f>"4574674200881340"</f>
        <v>4574674200881340</v>
      </c>
      <c r="F4932" t="str">
        <f>"548"</f>
        <v>548</v>
      </c>
      <c r="G4932">
        <v>1</v>
      </c>
      <c r="H4932">
        <v>2023</v>
      </c>
      <c r="I4932" t="s">
        <v>5047</v>
      </c>
    </row>
    <row r="4933" spans="1:9" x14ac:dyDescent="0.3">
      <c r="A4933" t="s">
        <v>10173</v>
      </c>
      <c r="B4933" t="s">
        <v>76</v>
      </c>
      <c r="C4933">
        <v>8989697390</v>
      </c>
      <c r="D4933" s="2">
        <v>1</v>
      </c>
      <c r="E4933" t="str">
        <f>"4574674200881407"</f>
        <v>4574674200881407</v>
      </c>
      <c r="F4933" t="str">
        <f>"644"</f>
        <v>644</v>
      </c>
      <c r="G4933">
        <v>1</v>
      </c>
      <c r="H4933">
        <v>2023</v>
      </c>
      <c r="I4933" t="s">
        <v>5048</v>
      </c>
    </row>
    <row r="4934" spans="1:9" x14ac:dyDescent="0.3">
      <c r="A4934" t="s">
        <v>10173</v>
      </c>
      <c r="B4934" t="s">
        <v>76</v>
      </c>
      <c r="C4934">
        <v>8989697390</v>
      </c>
      <c r="D4934" s="2">
        <v>1</v>
      </c>
      <c r="E4934" t="str">
        <f>"4574674200881423"</f>
        <v>4574674200881423</v>
      </c>
      <c r="F4934" t="str">
        <f>"995"</f>
        <v>995</v>
      </c>
      <c r="G4934">
        <v>1</v>
      </c>
      <c r="H4934">
        <v>2023</v>
      </c>
      <c r="I4934" t="s">
        <v>5049</v>
      </c>
    </row>
    <row r="4935" spans="1:9" x14ac:dyDescent="0.3">
      <c r="A4935" t="s">
        <v>10173</v>
      </c>
      <c r="B4935" t="s">
        <v>76</v>
      </c>
      <c r="C4935">
        <v>8989697390</v>
      </c>
      <c r="D4935" s="2">
        <v>1</v>
      </c>
      <c r="E4935" t="str">
        <f>"4574674200881456"</f>
        <v>4574674200881456</v>
      </c>
      <c r="F4935" t="str">
        <f>"853"</f>
        <v>853</v>
      </c>
      <c r="G4935">
        <v>1</v>
      </c>
      <c r="H4935">
        <v>2023</v>
      </c>
      <c r="I4935" t="s">
        <v>5050</v>
      </c>
    </row>
    <row r="4936" spans="1:9" x14ac:dyDescent="0.3">
      <c r="A4936" t="s">
        <v>10173</v>
      </c>
      <c r="B4936" t="s">
        <v>76</v>
      </c>
      <c r="C4936">
        <v>8989697390</v>
      </c>
      <c r="D4936" s="2">
        <v>1</v>
      </c>
      <c r="E4936" t="str">
        <f>"4574674200881464"</f>
        <v>4574674200881464</v>
      </c>
      <c r="F4936" t="str">
        <f>"752"</f>
        <v>752</v>
      </c>
      <c r="G4936">
        <v>1</v>
      </c>
      <c r="H4936">
        <v>2023</v>
      </c>
      <c r="I4936" t="s">
        <v>5051</v>
      </c>
    </row>
    <row r="4937" spans="1:9" x14ac:dyDescent="0.3">
      <c r="A4937" t="s">
        <v>10173</v>
      </c>
      <c r="B4937" t="s">
        <v>76</v>
      </c>
      <c r="C4937">
        <v>8989697390</v>
      </c>
      <c r="D4937" s="2">
        <v>1</v>
      </c>
      <c r="E4937" t="str">
        <f>"4574674200881605"</f>
        <v>4574674200881605</v>
      </c>
      <c r="F4937" t="str">
        <f>"439"</f>
        <v>439</v>
      </c>
      <c r="G4937">
        <v>1</v>
      </c>
      <c r="H4937">
        <v>2023</v>
      </c>
      <c r="I4937" t="s">
        <v>5052</v>
      </c>
    </row>
    <row r="4938" spans="1:9" x14ac:dyDescent="0.3">
      <c r="A4938" t="s">
        <v>10173</v>
      </c>
      <c r="B4938" t="s">
        <v>76</v>
      </c>
      <c r="C4938">
        <v>8989697390</v>
      </c>
      <c r="D4938" s="2">
        <v>1</v>
      </c>
      <c r="E4938" t="str">
        <f>"4574674200881530"</f>
        <v>4574674200881530</v>
      </c>
      <c r="F4938" t="str">
        <f>"019"</f>
        <v>019</v>
      </c>
      <c r="G4938">
        <v>1</v>
      </c>
      <c r="H4938">
        <v>2023</v>
      </c>
      <c r="I4938" t="s">
        <v>5053</v>
      </c>
    </row>
    <row r="4939" spans="1:9" x14ac:dyDescent="0.3">
      <c r="A4939" t="s">
        <v>10146</v>
      </c>
      <c r="B4939" t="s">
        <v>61</v>
      </c>
      <c r="C4939">
        <v>8989697390</v>
      </c>
      <c r="D4939" s="2">
        <v>1</v>
      </c>
      <c r="E4939" t="str">
        <f>"4574674200881555"</f>
        <v>4574674200881555</v>
      </c>
      <c r="F4939" t="str">
        <f>"094"</f>
        <v>094</v>
      </c>
      <c r="G4939">
        <v>1</v>
      </c>
      <c r="H4939">
        <v>2023</v>
      </c>
      <c r="I4939" t="s">
        <v>5054</v>
      </c>
    </row>
    <row r="4940" spans="1:9" x14ac:dyDescent="0.3">
      <c r="A4940" t="s">
        <v>10146</v>
      </c>
      <c r="B4940" t="s">
        <v>61</v>
      </c>
      <c r="C4940">
        <v>8989697390</v>
      </c>
      <c r="D4940" s="2">
        <v>1</v>
      </c>
      <c r="E4940" t="str">
        <f>"4574674200881563"</f>
        <v>4574674200881563</v>
      </c>
      <c r="F4940" t="str">
        <f>"554"</f>
        <v>554</v>
      </c>
      <c r="G4940">
        <v>1</v>
      </c>
      <c r="H4940">
        <v>2023</v>
      </c>
      <c r="I4940" t="s">
        <v>5055</v>
      </c>
    </row>
    <row r="4941" spans="1:9" x14ac:dyDescent="0.3">
      <c r="A4941" t="s">
        <v>10146</v>
      </c>
      <c r="B4941" t="s">
        <v>61</v>
      </c>
      <c r="C4941">
        <v>8989697390</v>
      </c>
      <c r="D4941" s="2">
        <v>1</v>
      </c>
      <c r="E4941" t="str">
        <f>"4574674200881811"</f>
        <v>4574674200881811</v>
      </c>
      <c r="F4941" t="str">
        <f>"222"</f>
        <v>222</v>
      </c>
      <c r="G4941">
        <v>1</v>
      </c>
      <c r="H4941">
        <v>2023</v>
      </c>
      <c r="I4941" t="s">
        <v>5056</v>
      </c>
    </row>
    <row r="4942" spans="1:9" x14ac:dyDescent="0.3">
      <c r="A4942" t="s">
        <v>10146</v>
      </c>
      <c r="B4942" t="s">
        <v>61</v>
      </c>
      <c r="C4942">
        <v>8989697390</v>
      </c>
      <c r="D4942" s="2">
        <v>1</v>
      </c>
      <c r="E4942" t="str">
        <f>"4574674200881829"</f>
        <v>4574674200881829</v>
      </c>
      <c r="F4942" t="str">
        <f>"678"</f>
        <v>678</v>
      </c>
      <c r="G4942">
        <v>1</v>
      </c>
      <c r="H4942">
        <v>2023</v>
      </c>
      <c r="I4942" t="s">
        <v>5057</v>
      </c>
    </row>
    <row r="4943" spans="1:9" x14ac:dyDescent="0.3">
      <c r="A4943" t="s">
        <v>10146</v>
      </c>
      <c r="B4943" t="s">
        <v>61</v>
      </c>
      <c r="C4943">
        <v>8989697390</v>
      </c>
      <c r="D4943" s="2">
        <v>1</v>
      </c>
      <c r="E4943" t="str">
        <f>"4574674200881688"</f>
        <v>4574674200881688</v>
      </c>
      <c r="F4943" t="str">
        <f>"897"</f>
        <v>897</v>
      </c>
      <c r="G4943">
        <v>1</v>
      </c>
      <c r="H4943">
        <v>2023</v>
      </c>
      <c r="I4943" t="s">
        <v>5058</v>
      </c>
    </row>
    <row r="4944" spans="1:9" x14ac:dyDescent="0.3">
      <c r="A4944" t="s">
        <v>10146</v>
      </c>
      <c r="B4944" t="s">
        <v>61</v>
      </c>
      <c r="C4944">
        <v>8989697390</v>
      </c>
      <c r="D4944" s="2">
        <v>1</v>
      </c>
      <c r="E4944" t="str">
        <f>"4574674200881894"</f>
        <v>4574674200881894</v>
      </c>
      <c r="F4944" t="str">
        <f>"587"</f>
        <v>587</v>
      </c>
      <c r="G4944">
        <v>1</v>
      </c>
      <c r="H4944">
        <v>2023</v>
      </c>
      <c r="I4944" t="s">
        <v>5059</v>
      </c>
    </row>
    <row r="4945" spans="1:9" x14ac:dyDescent="0.3">
      <c r="A4945" t="s">
        <v>10146</v>
      </c>
      <c r="B4945" t="s">
        <v>61</v>
      </c>
      <c r="C4945">
        <v>8989697390</v>
      </c>
      <c r="D4945" s="2">
        <v>1</v>
      </c>
      <c r="E4945" t="str">
        <f>"4574674200881910"</f>
        <v>4574674200881910</v>
      </c>
      <c r="F4945" t="str">
        <f>"405"</f>
        <v>405</v>
      </c>
      <c r="G4945">
        <v>1</v>
      </c>
      <c r="H4945">
        <v>2023</v>
      </c>
      <c r="I4945" t="s">
        <v>5060</v>
      </c>
    </row>
    <row r="4946" spans="1:9" x14ac:dyDescent="0.3">
      <c r="A4946" t="s">
        <v>10146</v>
      </c>
      <c r="B4946" t="s">
        <v>61</v>
      </c>
      <c r="C4946">
        <v>8989697390</v>
      </c>
      <c r="D4946" s="2">
        <v>1</v>
      </c>
      <c r="E4946" t="str">
        <f>"4574674200881944"</f>
        <v>4574674200881944</v>
      </c>
      <c r="F4946" t="str">
        <f>"844"</f>
        <v>844</v>
      </c>
      <c r="G4946">
        <v>1</v>
      </c>
      <c r="H4946">
        <v>2023</v>
      </c>
      <c r="I4946" t="s">
        <v>5061</v>
      </c>
    </row>
    <row r="4947" spans="1:9" x14ac:dyDescent="0.3">
      <c r="A4947" t="s">
        <v>10146</v>
      </c>
      <c r="B4947" t="s">
        <v>61</v>
      </c>
      <c r="C4947">
        <v>8989697390</v>
      </c>
      <c r="D4947" s="2">
        <v>1</v>
      </c>
      <c r="E4947" t="str">
        <f>"4574674200881951"</f>
        <v>4574674200881951</v>
      </c>
      <c r="F4947" t="str">
        <f>"338"</f>
        <v>338</v>
      </c>
      <c r="G4947">
        <v>1</v>
      </c>
      <c r="H4947">
        <v>2023</v>
      </c>
      <c r="I4947" t="s">
        <v>5062</v>
      </c>
    </row>
    <row r="4948" spans="1:9" x14ac:dyDescent="0.3">
      <c r="A4948" t="s">
        <v>10146</v>
      </c>
      <c r="B4948" t="s">
        <v>61</v>
      </c>
      <c r="C4948">
        <v>8989697390</v>
      </c>
      <c r="D4948" s="2">
        <v>1</v>
      </c>
      <c r="E4948" t="str">
        <f>"4574674200882009"</f>
        <v>4574674200882009</v>
      </c>
      <c r="F4948" t="str">
        <f>"470"</f>
        <v>470</v>
      </c>
      <c r="G4948">
        <v>1</v>
      </c>
      <c r="H4948">
        <v>2023</v>
      </c>
      <c r="I4948" t="s">
        <v>5063</v>
      </c>
    </row>
    <row r="4949" spans="1:9" x14ac:dyDescent="0.3">
      <c r="A4949" t="s">
        <v>10174</v>
      </c>
      <c r="B4949" t="s">
        <v>77</v>
      </c>
      <c r="C4949">
        <v>8989697390</v>
      </c>
      <c r="D4949" s="2">
        <v>1</v>
      </c>
      <c r="E4949" t="str">
        <f>"4574674200881779"</f>
        <v>4574674200881779</v>
      </c>
      <c r="F4949" t="str">
        <f>"314"</f>
        <v>314</v>
      </c>
      <c r="G4949">
        <v>1</v>
      </c>
      <c r="H4949">
        <v>2023</v>
      </c>
      <c r="I4949" t="s">
        <v>5064</v>
      </c>
    </row>
    <row r="4950" spans="1:9" x14ac:dyDescent="0.3">
      <c r="A4950" t="s">
        <v>10174</v>
      </c>
      <c r="B4950" t="s">
        <v>77</v>
      </c>
      <c r="C4950">
        <v>8989697390</v>
      </c>
      <c r="D4950" s="2">
        <v>1</v>
      </c>
      <c r="E4950" t="str">
        <f>"4574674200882066"</f>
        <v>4574674200882066</v>
      </c>
      <c r="F4950" t="str">
        <f>"936"</f>
        <v>936</v>
      </c>
      <c r="G4950">
        <v>1</v>
      </c>
      <c r="H4950">
        <v>2023</v>
      </c>
      <c r="I4950" t="s">
        <v>5065</v>
      </c>
    </row>
    <row r="4951" spans="1:9" x14ac:dyDescent="0.3">
      <c r="A4951" t="s">
        <v>10174</v>
      </c>
      <c r="B4951" t="s">
        <v>77</v>
      </c>
      <c r="C4951">
        <v>8989697390</v>
      </c>
      <c r="D4951" s="2">
        <v>1</v>
      </c>
      <c r="E4951" t="str">
        <f>"4574674200882090"</f>
        <v>4574674200882090</v>
      </c>
      <c r="F4951" t="str">
        <f>"483"</f>
        <v>483</v>
      </c>
      <c r="G4951">
        <v>1</v>
      </c>
      <c r="H4951">
        <v>2023</v>
      </c>
      <c r="I4951" t="s">
        <v>5066</v>
      </c>
    </row>
    <row r="4952" spans="1:9" x14ac:dyDescent="0.3">
      <c r="A4952" t="s">
        <v>10174</v>
      </c>
      <c r="B4952" t="s">
        <v>77</v>
      </c>
      <c r="C4952">
        <v>8989697390</v>
      </c>
      <c r="D4952" s="2">
        <v>1</v>
      </c>
      <c r="E4952" t="str">
        <f>"4574674200882108"</f>
        <v>4574674200882108</v>
      </c>
      <c r="F4952" t="str">
        <f>"896"</f>
        <v>896</v>
      </c>
      <c r="G4952">
        <v>1</v>
      </c>
      <c r="H4952">
        <v>2023</v>
      </c>
      <c r="I4952" t="s">
        <v>5067</v>
      </c>
    </row>
    <row r="4953" spans="1:9" x14ac:dyDescent="0.3">
      <c r="A4953" t="s">
        <v>10174</v>
      </c>
      <c r="B4953" t="s">
        <v>77</v>
      </c>
      <c r="C4953">
        <v>8989697390</v>
      </c>
      <c r="D4953" s="2">
        <v>1</v>
      </c>
      <c r="E4953" t="str">
        <f>"4574674200881795"</f>
        <v>4574674200881795</v>
      </c>
      <c r="F4953" t="str">
        <f>"441"</f>
        <v>441</v>
      </c>
      <c r="G4953">
        <v>1</v>
      </c>
      <c r="H4953">
        <v>2023</v>
      </c>
      <c r="I4953" t="s">
        <v>5068</v>
      </c>
    </row>
    <row r="4954" spans="1:9" x14ac:dyDescent="0.3">
      <c r="A4954" t="s">
        <v>10174</v>
      </c>
      <c r="B4954" t="s">
        <v>77</v>
      </c>
      <c r="C4954">
        <v>8989697390</v>
      </c>
      <c r="D4954" s="2">
        <v>1</v>
      </c>
      <c r="E4954" t="str">
        <f>"4574674200882132"</f>
        <v>4574674200882132</v>
      </c>
      <c r="F4954" t="str">
        <f>"550"</f>
        <v>550</v>
      </c>
      <c r="G4954">
        <v>1</v>
      </c>
      <c r="H4954">
        <v>2023</v>
      </c>
      <c r="I4954" t="s">
        <v>5069</v>
      </c>
    </row>
    <row r="4955" spans="1:9" x14ac:dyDescent="0.3">
      <c r="A4955" t="s">
        <v>10174</v>
      </c>
      <c r="B4955" t="s">
        <v>77</v>
      </c>
      <c r="C4955">
        <v>8989697390</v>
      </c>
      <c r="D4955" s="2">
        <v>1</v>
      </c>
      <c r="E4955" t="str">
        <f>"4574674200882140"</f>
        <v>4574674200882140</v>
      </c>
      <c r="F4955" t="str">
        <f>"507"</f>
        <v>507</v>
      </c>
      <c r="G4955">
        <v>1</v>
      </c>
      <c r="H4955">
        <v>2023</v>
      </c>
      <c r="I4955" t="s">
        <v>5070</v>
      </c>
    </row>
    <row r="4956" spans="1:9" x14ac:dyDescent="0.3">
      <c r="A4956" t="s">
        <v>10174</v>
      </c>
      <c r="B4956" t="s">
        <v>77</v>
      </c>
      <c r="C4956">
        <v>8989697390</v>
      </c>
      <c r="D4956" s="2">
        <v>1</v>
      </c>
      <c r="E4956" t="str">
        <f>"4574674200882439"</f>
        <v>4574674200882439</v>
      </c>
      <c r="F4956" t="str">
        <f>"835"</f>
        <v>835</v>
      </c>
      <c r="G4956">
        <v>1</v>
      </c>
      <c r="H4956">
        <v>2023</v>
      </c>
      <c r="I4956" t="s">
        <v>5071</v>
      </c>
    </row>
    <row r="4957" spans="1:9" x14ac:dyDescent="0.3">
      <c r="A4957" t="s">
        <v>10174</v>
      </c>
      <c r="B4957" t="s">
        <v>77</v>
      </c>
      <c r="C4957">
        <v>8989697390</v>
      </c>
      <c r="D4957" s="2">
        <v>1</v>
      </c>
      <c r="E4957" t="str">
        <f>"4574674200882454"</f>
        <v>4574674200882454</v>
      </c>
      <c r="F4957" t="str">
        <f>"297"</f>
        <v>297</v>
      </c>
      <c r="G4957">
        <v>1</v>
      </c>
      <c r="H4957">
        <v>2023</v>
      </c>
      <c r="I4957" t="s">
        <v>5072</v>
      </c>
    </row>
    <row r="4958" spans="1:9" x14ac:dyDescent="0.3">
      <c r="A4958" t="s">
        <v>10174</v>
      </c>
      <c r="B4958" t="s">
        <v>77</v>
      </c>
      <c r="C4958">
        <v>8989697390</v>
      </c>
      <c r="D4958" s="2">
        <v>1</v>
      </c>
      <c r="E4958" t="str">
        <f>"4574674200882280"</f>
        <v>4574674200882280</v>
      </c>
      <c r="F4958" t="str">
        <f>"474"</f>
        <v>474</v>
      </c>
      <c r="G4958">
        <v>1</v>
      </c>
      <c r="H4958">
        <v>2023</v>
      </c>
      <c r="I4958" t="s">
        <v>5073</v>
      </c>
    </row>
    <row r="4959" spans="1:9" x14ac:dyDescent="0.3">
      <c r="A4959" t="s">
        <v>10163</v>
      </c>
      <c r="B4959" t="s">
        <v>57</v>
      </c>
      <c r="C4959">
        <v>8989697390</v>
      </c>
      <c r="D4959" s="2">
        <v>1</v>
      </c>
      <c r="E4959" t="str">
        <f>"4574674200882470"</f>
        <v>4574674200882470</v>
      </c>
      <c r="F4959" t="str">
        <f>"713"</f>
        <v>713</v>
      </c>
      <c r="G4959">
        <v>1</v>
      </c>
      <c r="H4959">
        <v>2023</v>
      </c>
      <c r="I4959" t="s">
        <v>5074</v>
      </c>
    </row>
    <row r="4960" spans="1:9" x14ac:dyDescent="0.3">
      <c r="A4960" t="s">
        <v>10163</v>
      </c>
      <c r="B4960" t="s">
        <v>57</v>
      </c>
      <c r="C4960">
        <v>8989697390</v>
      </c>
      <c r="D4960" s="2">
        <v>1</v>
      </c>
      <c r="E4960" t="str">
        <f>"4574674200882496"</f>
        <v>4574674200882496</v>
      </c>
      <c r="F4960" t="str">
        <f>"716"</f>
        <v>716</v>
      </c>
      <c r="G4960">
        <v>1</v>
      </c>
      <c r="H4960">
        <v>2023</v>
      </c>
      <c r="I4960" t="s">
        <v>5075</v>
      </c>
    </row>
    <row r="4961" spans="1:9" x14ac:dyDescent="0.3">
      <c r="A4961" t="s">
        <v>10163</v>
      </c>
      <c r="B4961" t="s">
        <v>57</v>
      </c>
      <c r="C4961">
        <v>8989697390</v>
      </c>
      <c r="D4961" s="2">
        <v>1</v>
      </c>
      <c r="E4961" t="str">
        <f>"4574674200882561"</f>
        <v>4574674200882561</v>
      </c>
      <c r="F4961" t="str">
        <f>"349"</f>
        <v>349</v>
      </c>
      <c r="G4961">
        <v>1</v>
      </c>
      <c r="H4961">
        <v>2023</v>
      </c>
      <c r="I4961" t="s">
        <v>5076</v>
      </c>
    </row>
    <row r="4962" spans="1:9" x14ac:dyDescent="0.3">
      <c r="A4962" t="s">
        <v>10163</v>
      </c>
      <c r="B4962" t="s">
        <v>57</v>
      </c>
      <c r="C4962">
        <v>8989697390</v>
      </c>
      <c r="D4962" s="2">
        <v>1</v>
      </c>
      <c r="E4962" t="str">
        <f>"4574674200882595"</f>
        <v>4574674200882595</v>
      </c>
      <c r="F4962" t="str">
        <f>"391"</f>
        <v>391</v>
      </c>
      <c r="G4962">
        <v>1</v>
      </c>
      <c r="H4962">
        <v>2023</v>
      </c>
      <c r="I4962" t="s">
        <v>5077</v>
      </c>
    </row>
    <row r="4963" spans="1:9" x14ac:dyDescent="0.3">
      <c r="A4963" t="s">
        <v>10163</v>
      </c>
      <c r="B4963" t="s">
        <v>57</v>
      </c>
      <c r="C4963">
        <v>8989697390</v>
      </c>
      <c r="D4963" s="2">
        <v>1</v>
      </c>
      <c r="E4963" t="str">
        <f>"4574674200882314"</f>
        <v>4574674200882314</v>
      </c>
      <c r="F4963" t="str">
        <f>"049"</f>
        <v>049</v>
      </c>
      <c r="G4963">
        <v>1</v>
      </c>
      <c r="H4963">
        <v>2023</v>
      </c>
      <c r="I4963" t="s">
        <v>5078</v>
      </c>
    </row>
    <row r="4964" spans="1:9" x14ac:dyDescent="0.3">
      <c r="A4964" t="s">
        <v>10163</v>
      </c>
      <c r="B4964" t="s">
        <v>57</v>
      </c>
      <c r="C4964">
        <v>8989697390</v>
      </c>
      <c r="D4964" s="2">
        <v>1</v>
      </c>
      <c r="E4964" t="str">
        <f>"4574674200882611"</f>
        <v>4574674200882611</v>
      </c>
      <c r="F4964" t="str">
        <f>"050"</f>
        <v>050</v>
      </c>
      <c r="G4964">
        <v>1</v>
      </c>
      <c r="H4964">
        <v>2023</v>
      </c>
      <c r="I4964" t="s">
        <v>5079</v>
      </c>
    </row>
    <row r="4965" spans="1:9" x14ac:dyDescent="0.3">
      <c r="A4965" t="s">
        <v>10163</v>
      </c>
      <c r="B4965" t="s">
        <v>57</v>
      </c>
      <c r="C4965">
        <v>8989697390</v>
      </c>
      <c r="D4965" s="2">
        <v>1</v>
      </c>
      <c r="E4965" t="str">
        <f>"4574674200882660"</f>
        <v>4574674200882660</v>
      </c>
      <c r="F4965" t="str">
        <f>"071"</f>
        <v>071</v>
      </c>
      <c r="G4965">
        <v>1</v>
      </c>
      <c r="H4965">
        <v>2023</v>
      </c>
      <c r="I4965" t="s">
        <v>5080</v>
      </c>
    </row>
    <row r="4966" spans="1:9" x14ac:dyDescent="0.3">
      <c r="A4966" t="s">
        <v>10163</v>
      </c>
      <c r="B4966" t="s">
        <v>57</v>
      </c>
      <c r="C4966">
        <v>8989697390</v>
      </c>
      <c r="D4966" s="2">
        <v>1</v>
      </c>
      <c r="E4966" t="str">
        <f>"4574674200882678"</f>
        <v>4574674200882678</v>
      </c>
      <c r="F4966" t="str">
        <f>"263"</f>
        <v>263</v>
      </c>
      <c r="G4966">
        <v>1</v>
      </c>
      <c r="H4966">
        <v>2023</v>
      </c>
      <c r="I4966" t="s">
        <v>5081</v>
      </c>
    </row>
    <row r="4967" spans="1:9" x14ac:dyDescent="0.3">
      <c r="A4967" t="s">
        <v>10163</v>
      </c>
      <c r="B4967" t="s">
        <v>57</v>
      </c>
      <c r="C4967">
        <v>8989697390</v>
      </c>
      <c r="D4967" s="2">
        <v>1</v>
      </c>
      <c r="E4967" t="str">
        <f>"4574674200882710"</f>
        <v>4574674200882710</v>
      </c>
      <c r="F4967" t="str">
        <f>"651"</f>
        <v>651</v>
      </c>
      <c r="G4967">
        <v>1</v>
      </c>
      <c r="H4967">
        <v>2023</v>
      </c>
      <c r="I4967" t="s">
        <v>5082</v>
      </c>
    </row>
    <row r="4968" spans="1:9" x14ac:dyDescent="0.3">
      <c r="A4968" t="s">
        <v>10163</v>
      </c>
      <c r="B4968" t="s">
        <v>57</v>
      </c>
      <c r="C4968">
        <v>8989697390</v>
      </c>
      <c r="D4968" s="2">
        <v>1</v>
      </c>
      <c r="E4968" t="str">
        <f>"4574674200882744"</f>
        <v>4574674200882744</v>
      </c>
      <c r="F4968" t="str">
        <f>"107"</f>
        <v>107</v>
      </c>
      <c r="G4968">
        <v>1</v>
      </c>
      <c r="H4968">
        <v>2023</v>
      </c>
      <c r="I4968" t="s">
        <v>5083</v>
      </c>
    </row>
    <row r="4969" spans="1:9" x14ac:dyDescent="0.3">
      <c r="A4969" t="s">
        <v>10173</v>
      </c>
      <c r="B4969" t="s">
        <v>76</v>
      </c>
      <c r="C4969">
        <v>8989697390</v>
      </c>
      <c r="D4969" s="2">
        <v>1</v>
      </c>
      <c r="E4969" t="str">
        <f>"4574674200882819"</f>
        <v>4574674200882819</v>
      </c>
      <c r="F4969" t="str">
        <f>"191"</f>
        <v>191</v>
      </c>
      <c r="G4969">
        <v>1</v>
      </c>
      <c r="H4969">
        <v>2023</v>
      </c>
      <c r="I4969" t="s">
        <v>5084</v>
      </c>
    </row>
    <row r="4970" spans="1:9" x14ac:dyDescent="0.3">
      <c r="A4970" t="s">
        <v>10173</v>
      </c>
      <c r="B4970" t="s">
        <v>76</v>
      </c>
      <c r="C4970">
        <v>8989697390</v>
      </c>
      <c r="D4970" s="2">
        <v>1</v>
      </c>
      <c r="E4970" t="str">
        <f>"4574674200882777"</f>
        <v>4574674200882777</v>
      </c>
      <c r="F4970" t="str">
        <f>"412"</f>
        <v>412</v>
      </c>
      <c r="G4970">
        <v>1</v>
      </c>
      <c r="H4970">
        <v>2023</v>
      </c>
      <c r="I4970" t="s">
        <v>5085</v>
      </c>
    </row>
    <row r="4971" spans="1:9" x14ac:dyDescent="0.3">
      <c r="A4971" t="s">
        <v>10173</v>
      </c>
      <c r="B4971" t="s">
        <v>76</v>
      </c>
      <c r="C4971">
        <v>8989697390</v>
      </c>
      <c r="D4971" s="2">
        <v>1</v>
      </c>
      <c r="E4971" t="str">
        <f>"4574674200883015"</f>
        <v>4574674200883015</v>
      </c>
      <c r="F4971" t="str">
        <f>"733"</f>
        <v>733</v>
      </c>
      <c r="G4971">
        <v>1</v>
      </c>
      <c r="H4971">
        <v>2023</v>
      </c>
      <c r="I4971" t="s">
        <v>5086</v>
      </c>
    </row>
    <row r="4972" spans="1:9" x14ac:dyDescent="0.3">
      <c r="A4972" t="s">
        <v>10173</v>
      </c>
      <c r="B4972" t="s">
        <v>76</v>
      </c>
      <c r="C4972">
        <v>8989697390</v>
      </c>
      <c r="D4972" s="2">
        <v>1</v>
      </c>
      <c r="E4972" t="str">
        <f>"4574674200883056"</f>
        <v>4574674200883056</v>
      </c>
      <c r="F4972" t="str">
        <f>"407"</f>
        <v>407</v>
      </c>
      <c r="G4972">
        <v>1</v>
      </c>
      <c r="H4972">
        <v>2023</v>
      </c>
      <c r="I4972" t="s">
        <v>5087</v>
      </c>
    </row>
    <row r="4973" spans="1:9" x14ac:dyDescent="0.3">
      <c r="A4973" t="s">
        <v>10173</v>
      </c>
      <c r="B4973" t="s">
        <v>76</v>
      </c>
      <c r="C4973">
        <v>8989697390</v>
      </c>
      <c r="D4973" s="2">
        <v>1</v>
      </c>
      <c r="E4973" t="str">
        <f>"4574674200883080"</f>
        <v>4574674200883080</v>
      </c>
      <c r="F4973" t="str">
        <f>"395"</f>
        <v>395</v>
      </c>
      <c r="G4973">
        <v>1</v>
      </c>
      <c r="H4973">
        <v>2023</v>
      </c>
      <c r="I4973" t="s">
        <v>5088</v>
      </c>
    </row>
    <row r="4974" spans="1:9" x14ac:dyDescent="0.3">
      <c r="A4974" t="s">
        <v>10173</v>
      </c>
      <c r="B4974" t="s">
        <v>76</v>
      </c>
      <c r="C4974">
        <v>8989697390</v>
      </c>
      <c r="D4974" s="2">
        <v>1</v>
      </c>
      <c r="E4974" t="str">
        <f>"4574674200883106"</f>
        <v>4574674200883106</v>
      </c>
      <c r="F4974" t="str">
        <f>"712"</f>
        <v>712</v>
      </c>
      <c r="G4974">
        <v>1</v>
      </c>
      <c r="H4974">
        <v>2023</v>
      </c>
      <c r="I4974" t="s">
        <v>5089</v>
      </c>
    </row>
    <row r="4975" spans="1:9" x14ac:dyDescent="0.3">
      <c r="A4975" t="s">
        <v>10173</v>
      </c>
      <c r="B4975" t="s">
        <v>76</v>
      </c>
      <c r="C4975">
        <v>8989697390</v>
      </c>
      <c r="D4975" s="2">
        <v>1</v>
      </c>
      <c r="E4975" t="str">
        <f>"4574674200883130"</f>
        <v>4574674200883130</v>
      </c>
      <c r="F4975" t="str">
        <f>"117"</f>
        <v>117</v>
      </c>
      <c r="G4975">
        <v>1</v>
      </c>
      <c r="H4975">
        <v>2023</v>
      </c>
      <c r="I4975" t="s">
        <v>5090</v>
      </c>
    </row>
    <row r="4976" spans="1:9" x14ac:dyDescent="0.3">
      <c r="A4976" t="s">
        <v>10173</v>
      </c>
      <c r="B4976" t="s">
        <v>76</v>
      </c>
      <c r="C4976">
        <v>8989697390</v>
      </c>
      <c r="D4976" s="2">
        <v>1</v>
      </c>
      <c r="E4976" t="str">
        <f>"4574674200882835"</f>
        <v>4574674200882835</v>
      </c>
      <c r="F4976" t="str">
        <f>"319"</f>
        <v>319</v>
      </c>
      <c r="G4976">
        <v>1</v>
      </c>
      <c r="H4976">
        <v>2023</v>
      </c>
      <c r="I4976" t="s">
        <v>5091</v>
      </c>
    </row>
    <row r="4977" spans="1:9" x14ac:dyDescent="0.3">
      <c r="A4977" t="s">
        <v>10173</v>
      </c>
      <c r="B4977" t="s">
        <v>76</v>
      </c>
      <c r="C4977">
        <v>8989697390</v>
      </c>
      <c r="D4977" s="2">
        <v>1</v>
      </c>
      <c r="E4977" t="str">
        <f>"4574674200883205"</f>
        <v>4574674200883205</v>
      </c>
      <c r="F4977" t="str">
        <f>"325"</f>
        <v>325</v>
      </c>
      <c r="G4977">
        <v>1</v>
      </c>
      <c r="H4977">
        <v>2023</v>
      </c>
      <c r="I4977" t="s">
        <v>5092</v>
      </c>
    </row>
    <row r="4978" spans="1:9" x14ac:dyDescent="0.3">
      <c r="A4978" t="s">
        <v>10173</v>
      </c>
      <c r="B4978" t="s">
        <v>76</v>
      </c>
      <c r="C4978">
        <v>8989697390</v>
      </c>
      <c r="D4978" s="2">
        <v>1</v>
      </c>
      <c r="E4978" t="str">
        <f>"4574674200883247"</f>
        <v>4574674200883247</v>
      </c>
      <c r="F4978" t="str">
        <f>"187"</f>
        <v>187</v>
      </c>
      <c r="G4978">
        <v>1</v>
      </c>
      <c r="H4978">
        <v>2023</v>
      </c>
      <c r="I4978" t="s">
        <v>5093</v>
      </c>
    </row>
    <row r="4979" spans="1:9" x14ac:dyDescent="0.3">
      <c r="A4979" t="s">
        <v>10175</v>
      </c>
      <c r="B4979" t="s">
        <v>78</v>
      </c>
      <c r="C4979">
        <v>8989697390</v>
      </c>
      <c r="D4979" s="2">
        <v>1</v>
      </c>
      <c r="E4979" t="str">
        <f>"4574674200883221"</f>
        <v>4574674200883221</v>
      </c>
      <c r="F4979" t="str">
        <f>"254"</f>
        <v>254</v>
      </c>
      <c r="G4979">
        <v>1</v>
      </c>
      <c r="H4979">
        <v>2023</v>
      </c>
      <c r="I4979" t="s">
        <v>5094</v>
      </c>
    </row>
    <row r="4980" spans="1:9" x14ac:dyDescent="0.3">
      <c r="A4980" t="s">
        <v>10175</v>
      </c>
      <c r="B4980" t="s">
        <v>78</v>
      </c>
      <c r="C4980">
        <v>8989697390</v>
      </c>
      <c r="D4980" s="2">
        <v>1</v>
      </c>
      <c r="E4980" t="str">
        <f>"4574674200883262"</f>
        <v>4574674200883262</v>
      </c>
      <c r="F4980" t="str">
        <f>"947"</f>
        <v>947</v>
      </c>
      <c r="G4980">
        <v>1</v>
      </c>
      <c r="H4980">
        <v>2023</v>
      </c>
      <c r="I4980" t="s">
        <v>5095</v>
      </c>
    </row>
    <row r="4981" spans="1:9" x14ac:dyDescent="0.3">
      <c r="A4981" t="s">
        <v>10175</v>
      </c>
      <c r="B4981" t="s">
        <v>78</v>
      </c>
      <c r="C4981">
        <v>8989697390</v>
      </c>
      <c r="D4981" s="2">
        <v>1</v>
      </c>
      <c r="E4981" t="str">
        <f>"4574674200882892"</f>
        <v>4574674200882892</v>
      </c>
      <c r="F4981" t="str">
        <f>"407"</f>
        <v>407</v>
      </c>
      <c r="G4981">
        <v>1</v>
      </c>
      <c r="H4981">
        <v>2023</v>
      </c>
      <c r="I4981" t="s">
        <v>5096</v>
      </c>
    </row>
    <row r="4982" spans="1:9" x14ac:dyDescent="0.3">
      <c r="A4982" t="s">
        <v>10175</v>
      </c>
      <c r="B4982" t="s">
        <v>78</v>
      </c>
      <c r="C4982">
        <v>8989697390</v>
      </c>
      <c r="D4982" s="2">
        <v>1</v>
      </c>
      <c r="E4982" t="str">
        <f>"4574674200883304"</f>
        <v>4574674200883304</v>
      </c>
      <c r="F4982" t="str">
        <f>"264"</f>
        <v>264</v>
      </c>
      <c r="G4982">
        <v>1</v>
      </c>
      <c r="H4982">
        <v>2023</v>
      </c>
      <c r="I4982" t="s">
        <v>5097</v>
      </c>
    </row>
    <row r="4983" spans="1:9" x14ac:dyDescent="0.3">
      <c r="A4983" t="s">
        <v>10175</v>
      </c>
      <c r="B4983" t="s">
        <v>78</v>
      </c>
      <c r="C4983">
        <v>8989697390</v>
      </c>
      <c r="D4983" s="2">
        <v>1</v>
      </c>
      <c r="E4983" t="str">
        <f>"4574674200883361"</f>
        <v>4574674200883361</v>
      </c>
      <c r="F4983" t="str">
        <f>"262"</f>
        <v>262</v>
      </c>
      <c r="G4983">
        <v>1</v>
      </c>
      <c r="H4983">
        <v>2023</v>
      </c>
      <c r="I4983" t="s">
        <v>5098</v>
      </c>
    </row>
    <row r="4984" spans="1:9" x14ac:dyDescent="0.3">
      <c r="A4984" t="s">
        <v>10175</v>
      </c>
      <c r="B4984" t="s">
        <v>78</v>
      </c>
      <c r="C4984">
        <v>8989697390</v>
      </c>
      <c r="D4984" s="2">
        <v>1</v>
      </c>
      <c r="E4984" t="str">
        <f>"4574674200883387"</f>
        <v>4574674200883387</v>
      </c>
      <c r="F4984" t="str">
        <f>"301"</f>
        <v>301</v>
      </c>
      <c r="G4984">
        <v>1</v>
      </c>
      <c r="H4984">
        <v>2023</v>
      </c>
      <c r="I4984" t="s">
        <v>5099</v>
      </c>
    </row>
    <row r="4985" spans="1:9" x14ac:dyDescent="0.3">
      <c r="A4985" t="s">
        <v>10175</v>
      </c>
      <c r="B4985" t="s">
        <v>78</v>
      </c>
      <c r="C4985">
        <v>8989697390</v>
      </c>
      <c r="D4985" s="2">
        <v>1</v>
      </c>
      <c r="E4985" t="str">
        <f>"4574674200883403"</f>
        <v>4574674200883403</v>
      </c>
      <c r="F4985" t="str">
        <f>"156"</f>
        <v>156</v>
      </c>
      <c r="G4985">
        <v>1</v>
      </c>
      <c r="H4985">
        <v>2023</v>
      </c>
      <c r="I4985" t="s">
        <v>5100</v>
      </c>
    </row>
    <row r="4986" spans="1:9" x14ac:dyDescent="0.3">
      <c r="A4986" t="s">
        <v>10175</v>
      </c>
      <c r="B4986" t="s">
        <v>78</v>
      </c>
      <c r="C4986">
        <v>8989697390</v>
      </c>
      <c r="D4986" s="2">
        <v>1</v>
      </c>
      <c r="E4986" t="str">
        <f>"4574674200883429"</f>
        <v>4574674200883429</v>
      </c>
      <c r="F4986" t="str">
        <f>"764"</f>
        <v>764</v>
      </c>
      <c r="G4986">
        <v>1</v>
      </c>
      <c r="H4986">
        <v>2023</v>
      </c>
      <c r="I4986" t="s">
        <v>5101</v>
      </c>
    </row>
    <row r="4987" spans="1:9" x14ac:dyDescent="0.3">
      <c r="A4987" t="s">
        <v>10175</v>
      </c>
      <c r="B4987" t="s">
        <v>78</v>
      </c>
      <c r="C4987">
        <v>8989697390</v>
      </c>
      <c r="D4987" s="2">
        <v>1</v>
      </c>
      <c r="E4987" t="str">
        <f>"4574674200882959"</f>
        <v>4574674200882959</v>
      </c>
      <c r="F4987" t="str">
        <f>"093"</f>
        <v>093</v>
      </c>
      <c r="G4987">
        <v>1</v>
      </c>
      <c r="H4987">
        <v>2023</v>
      </c>
      <c r="I4987" t="s">
        <v>5102</v>
      </c>
    </row>
    <row r="4988" spans="1:9" x14ac:dyDescent="0.3">
      <c r="A4988" t="s">
        <v>10175</v>
      </c>
      <c r="B4988" t="s">
        <v>78</v>
      </c>
      <c r="C4988">
        <v>8989697390</v>
      </c>
      <c r="D4988" s="2">
        <v>1</v>
      </c>
      <c r="E4988" t="str">
        <f>"4574674200883460"</f>
        <v>4574674200883460</v>
      </c>
      <c r="F4988" t="str">
        <f>"174"</f>
        <v>174</v>
      </c>
      <c r="G4988">
        <v>1</v>
      </c>
      <c r="H4988">
        <v>2023</v>
      </c>
      <c r="I4988" t="s">
        <v>5103</v>
      </c>
    </row>
    <row r="4989" spans="1:9" x14ac:dyDescent="0.3">
      <c r="A4989" t="s">
        <v>10168</v>
      </c>
      <c r="B4989" t="s">
        <v>69</v>
      </c>
      <c r="C4989">
        <v>8989697390</v>
      </c>
      <c r="D4989" s="2">
        <v>1</v>
      </c>
      <c r="E4989" t="str">
        <f>"4574674200883478"</f>
        <v>4574674200883478</v>
      </c>
      <c r="F4989" t="str">
        <f>"932"</f>
        <v>932</v>
      </c>
      <c r="G4989">
        <v>1</v>
      </c>
      <c r="H4989">
        <v>2023</v>
      </c>
      <c r="I4989" t="s">
        <v>5104</v>
      </c>
    </row>
    <row r="4990" spans="1:9" x14ac:dyDescent="0.3">
      <c r="A4990" t="s">
        <v>10168</v>
      </c>
      <c r="B4990" t="s">
        <v>69</v>
      </c>
      <c r="C4990">
        <v>8989697390</v>
      </c>
      <c r="D4990" s="2">
        <v>1</v>
      </c>
      <c r="E4990" t="str">
        <f>"4574674200883536"</f>
        <v>4574674200883536</v>
      </c>
      <c r="F4990" t="str">
        <f>"244"</f>
        <v>244</v>
      </c>
      <c r="G4990">
        <v>1</v>
      </c>
      <c r="H4990">
        <v>2023</v>
      </c>
      <c r="I4990" t="s">
        <v>5105</v>
      </c>
    </row>
    <row r="4991" spans="1:9" x14ac:dyDescent="0.3">
      <c r="A4991" t="s">
        <v>10168</v>
      </c>
      <c r="B4991" t="s">
        <v>69</v>
      </c>
      <c r="C4991">
        <v>8989697390</v>
      </c>
      <c r="D4991" s="2">
        <v>1</v>
      </c>
      <c r="E4991" t="str">
        <f>"4574674200882991"</f>
        <v>4574674200882991</v>
      </c>
      <c r="F4991" t="str">
        <f>"540"</f>
        <v>540</v>
      </c>
      <c r="G4991">
        <v>1</v>
      </c>
      <c r="H4991">
        <v>2023</v>
      </c>
      <c r="I4991" t="s">
        <v>5106</v>
      </c>
    </row>
    <row r="4992" spans="1:9" x14ac:dyDescent="0.3">
      <c r="A4992" t="s">
        <v>10168</v>
      </c>
      <c r="B4992" t="s">
        <v>69</v>
      </c>
      <c r="C4992">
        <v>8989697390</v>
      </c>
      <c r="D4992" s="2">
        <v>1</v>
      </c>
      <c r="E4992" t="str">
        <f>"4574674200883569"</f>
        <v>4574674200883569</v>
      </c>
      <c r="F4992" t="str">
        <f>"233"</f>
        <v>233</v>
      </c>
      <c r="G4992">
        <v>1</v>
      </c>
      <c r="H4992">
        <v>2023</v>
      </c>
      <c r="I4992" t="s">
        <v>5107</v>
      </c>
    </row>
    <row r="4993" spans="1:9" x14ac:dyDescent="0.3">
      <c r="A4993" t="s">
        <v>10168</v>
      </c>
      <c r="B4993" t="s">
        <v>69</v>
      </c>
      <c r="C4993">
        <v>8989697390</v>
      </c>
      <c r="D4993" s="2">
        <v>1</v>
      </c>
      <c r="E4993" t="str">
        <f>"4574674200883585"</f>
        <v>4574674200883585</v>
      </c>
      <c r="F4993" t="str">
        <f>"624"</f>
        <v>624</v>
      </c>
      <c r="G4993">
        <v>1</v>
      </c>
      <c r="H4993">
        <v>2023</v>
      </c>
      <c r="I4993" t="s">
        <v>5108</v>
      </c>
    </row>
    <row r="4994" spans="1:9" x14ac:dyDescent="0.3">
      <c r="A4994" t="s">
        <v>10168</v>
      </c>
      <c r="B4994" t="s">
        <v>69</v>
      </c>
      <c r="C4994">
        <v>8989697390</v>
      </c>
      <c r="D4994" s="2">
        <v>1</v>
      </c>
      <c r="E4994" t="str">
        <f>"4574674200883825"</f>
        <v>4574674200883825</v>
      </c>
      <c r="F4994" t="str">
        <f>"616"</f>
        <v>616</v>
      </c>
      <c r="G4994">
        <v>1</v>
      </c>
      <c r="H4994">
        <v>2023</v>
      </c>
      <c r="I4994" t="s">
        <v>5109</v>
      </c>
    </row>
    <row r="4995" spans="1:9" x14ac:dyDescent="0.3">
      <c r="A4995" t="s">
        <v>10168</v>
      </c>
      <c r="B4995" t="s">
        <v>69</v>
      </c>
      <c r="C4995">
        <v>8989697390</v>
      </c>
      <c r="D4995" s="2">
        <v>1</v>
      </c>
      <c r="E4995" t="str">
        <f>"4574674200883833"</f>
        <v>4574674200883833</v>
      </c>
      <c r="F4995" t="str">
        <f>"323"</f>
        <v>323</v>
      </c>
      <c r="G4995">
        <v>1</v>
      </c>
      <c r="H4995">
        <v>2023</v>
      </c>
      <c r="I4995" t="s">
        <v>5110</v>
      </c>
    </row>
    <row r="4996" spans="1:9" x14ac:dyDescent="0.3">
      <c r="A4996" t="s">
        <v>10168</v>
      </c>
      <c r="B4996" t="s">
        <v>69</v>
      </c>
      <c r="C4996">
        <v>8989697390</v>
      </c>
      <c r="D4996" s="2">
        <v>1</v>
      </c>
      <c r="E4996" t="str">
        <f>"4574674200883676"</f>
        <v>4574674200883676</v>
      </c>
      <c r="F4996" t="str">
        <f>"554"</f>
        <v>554</v>
      </c>
      <c r="G4996">
        <v>1</v>
      </c>
      <c r="H4996">
        <v>2023</v>
      </c>
      <c r="I4996" t="s">
        <v>5111</v>
      </c>
    </row>
    <row r="4997" spans="1:9" x14ac:dyDescent="0.3">
      <c r="A4997" t="s">
        <v>10168</v>
      </c>
      <c r="B4997" t="s">
        <v>69</v>
      </c>
      <c r="C4997">
        <v>8989697390</v>
      </c>
      <c r="D4997" s="2">
        <v>1</v>
      </c>
      <c r="E4997" t="str">
        <f>"4574674200883916"</f>
        <v>4574674200883916</v>
      </c>
      <c r="F4997" t="str">
        <f>"073"</f>
        <v>073</v>
      </c>
      <c r="G4997">
        <v>1</v>
      </c>
      <c r="H4997">
        <v>2023</v>
      </c>
      <c r="I4997" t="s">
        <v>5112</v>
      </c>
    </row>
    <row r="4998" spans="1:9" x14ac:dyDescent="0.3">
      <c r="A4998" t="s">
        <v>10168</v>
      </c>
      <c r="B4998" t="s">
        <v>69</v>
      </c>
      <c r="C4998">
        <v>8989697390</v>
      </c>
      <c r="D4998" s="2">
        <v>1</v>
      </c>
      <c r="E4998" t="str">
        <f>"4574674200883692"</f>
        <v>4574674200883692</v>
      </c>
      <c r="F4998" t="str">
        <f>"809"</f>
        <v>809</v>
      </c>
      <c r="G4998">
        <v>1</v>
      </c>
      <c r="H4998">
        <v>2023</v>
      </c>
      <c r="I4998" t="s">
        <v>5113</v>
      </c>
    </row>
    <row r="4999" spans="1:9" x14ac:dyDescent="0.3">
      <c r="A4999" t="s">
        <v>10124</v>
      </c>
      <c r="B4999" t="s">
        <v>79</v>
      </c>
      <c r="C4999">
        <v>8989697390</v>
      </c>
      <c r="D4999" s="2">
        <v>1</v>
      </c>
      <c r="E4999" t="str">
        <f>"4574674200883924"</f>
        <v>4574674200883924</v>
      </c>
      <c r="F4999" t="str">
        <f>"480"</f>
        <v>480</v>
      </c>
      <c r="G4999">
        <v>1</v>
      </c>
      <c r="H4999">
        <v>2023</v>
      </c>
      <c r="I4999" t="s">
        <v>5114</v>
      </c>
    </row>
    <row r="5000" spans="1:9" x14ac:dyDescent="0.3">
      <c r="A5000" t="s">
        <v>10124</v>
      </c>
      <c r="B5000" t="s">
        <v>79</v>
      </c>
      <c r="C5000">
        <v>8989697390</v>
      </c>
      <c r="D5000" s="2">
        <v>1</v>
      </c>
      <c r="E5000" t="str">
        <f>"4574674200883965"</f>
        <v>4574674200883965</v>
      </c>
      <c r="F5000" t="str">
        <f>"181"</f>
        <v>181</v>
      </c>
      <c r="G5000">
        <v>1</v>
      </c>
      <c r="H5000">
        <v>2023</v>
      </c>
      <c r="I5000" t="s">
        <v>5115</v>
      </c>
    </row>
    <row r="5001" spans="1:9" x14ac:dyDescent="0.3">
      <c r="A5001" t="s">
        <v>10124</v>
      </c>
      <c r="B5001" t="s">
        <v>79</v>
      </c>
      <c r="C5001">
        <v>8989697390</v>
      </c>
      <c r="D5001" s="2">
        <v>1</v>
      </c>
      <c r="E5001" t="str">
        <f>"4574674200883999"</f>
        <v>4574674200883999</v>
      </c>
      <c r="F5001" t="str">
        <f>"221"</f>
        <v>221</v>
      </c>
      <c r="G5001">
        <v>1</v>
      </c>
      <c r="H5001">
        <v>2023</v>
      </c>
      <c r="I5001" t="s">
        <v>5116</v>
      </c>
    </row>
    <row r="5002" spans="1:9" x14ac:dyDescent="0.3">
      <c r="A5002" t="s">
        <v>10124</v>
      </c>
      <c r="B5002" t="s">
        <v>79</v>
      </c>
      <c r="C5002">
        <v>8989697390</v>
      </c>
      <c r="D5002" s="2">
        <v>1</v>
      </c>
      <c r="E5002" t="str">
        <f>"4574674200884013"</f>
        <v>4574674200884013</v>
      </c>
      <c r="F5002" t="str">
        <f>"347"</f>
        <v>347</v>
      </c>
      <c r="G5002">
        <v>1</v>
      </c>
      <c r="H5002">
        <v>2023</v>
      </c>
      <c r="I5002" t="s">
        <v>5117</v>
      </c>
    </row>
    <row r="5003" spans="1:9" x14ac:dyDescent="0.3">
      <c r="A5003" t="s">
        <v>10124</v>
      </c>
      <c r="B5003" t="s">
        <v>79</v>
      </c>
      <c r="C5003">
        <v>8989697390</v>
      </c>
      <c r="D5003" s="2">
        <v>1</v>
      </c>
      <c r="E5003" t="str">
        <f>"4574674200884070"</f>
        <v>4574674200884070</v>
      </c>
      <c r="F5003" t="str">
        <f>"936"</f>
        <v>936</v>
      </c>
      <c r="G5003">
        <v>1</v>
      </c>
      <c r="H5003">
        <v>2023</v>
      </c>
      <c r="I5003" t="s">
        <v>5118</v>
      </c>
    </row>
    <row r="5004" spans="1:9" x14ac:dyDescent="0.3">
      <c r="A5004" t="s">
        <v>10124</v>
      </c>
      <c r="B5004" t="s">
        <v>79</v>
      </c>
      <c r="C5004">
        <v>8989697390</v>
      </c>
      <c r="D5004" s="2">
        <v>1</v>
      </c>
      <c r="E5004" t="str">
        <f>"4574674200884203"</f>
        <v>4574674200884203</v>
      </c>
      <c r="F5004" t="str">
        <f>"003"</f>
        <v>003</v>
      </c>
      <c r="G5004">
        <v>1</v>
      </c>
      <c r="H5004">
        <v>2023</v>
      </c>
      <c r="I5004" t="s">
        <v>5119</v>
      </c>
    </row>
    <row r="5005" spans="1:9" x14ac:dyDescent="0.3">
      <c r="A5005" t="s">
        <v>10124</v>
      </c>
      <c r="B5005" t="s">
        <v>79</v>
      </c>
      <c r="C5005">
        <v>8989697390</v>
      </c>
      <c r="D5005" s="2">
        <v>1</v>
      </c>
      <c r="E5005" t="str">
        <f>"4574674200884096"</f>
        <v>4574674200884096</v>
      </c>
      <c r="F5005" t="str">
        <f>"044"</f>
        <v>044</v>
      </c>
      <c r="G5005">
        <v>1</v>
      </c>
      <c r="H5005">
        <v>2023</v>
      </c>
      <c r="I5005" t="s">
        <v>5120</v>
      </c>
    </row>
    <row r="5006" spans="1:9" x14ac:dyDescent="0.3">
      <c r="A5006" t="s">
        <v>10124</v>
      </c>
      <c r="B5006" t="s">
        <v>79</v>
      </c>
      <c r="C5006">
        <v>8989697390</v>
      </c>
      <c r="D5006" s="2">
        <v>1</v>
      </c>
      <c r="E5006" t="str">
        <f>"4574674200884138"</f>
        <v>4574674200884138</v>
      </c>
      <c r="F5006" t="str">
        <f>"783"</f>
        <v>783</v>
      </c>
      <c r="G5006">
        <v>1</v>
      </c>
      <c r="H5006">
        <v>2023</v>
      </c>
      <c r="I5006" t="s">
        <v>5121</v>
      </c>
    </row>
    <row r="5007" spans="1:9" x14ac:dyDescent="0.3">
      <c r="A5007" t="s">
        <v>10124</v>
      </c>
      <c r="B5007" t="s">
        <v>79</v>
      </c>
      <c r="C5007">
        <v>8989697390</v>
      </c>
      <c r="D5007" s="2">
        <v>1</v>
      </c>
      <c r="E5007" t="str">
        <f>"4574674200884153"</f>
        <v>4574674200884153</v>
      </c>
      <c r="F5007" t="str">
        <f>"678"</f>
        <v>678</v>
      </c>
      <c r="G5007">
        <v>1</v>
      </c>
      <c r="H5007">
        <v>2023</v>
      </c>
      <c r="I5007" t="s">
        <v>5122</v>
      </c>
    </row>
    <row r="5008" spans="1:9" x14ac:dyDescent="0.3">
      <c r="A5008" t="s">
        <v>10124</v>
      </c>
      <c r="B5008" t="s">
        <v>79</v>
      </c>
      <c r="C5008">
        <v>8989697390</v>
      </c>
      <c r="D5008" s="2">
        <v>1</v>
      </c>
      <c r="E5008" t="str">
        <f>"4574674200884211"</f>
        <v>4574674200884211</v>
      </c>
      <c r="F5008" t="str">
        <f>"846"</f>
        <v>846</v>
      </c>
      <c r="G5008">
        <v>1</v>
      </c>
      <c r="H5008">
        <v>2023</v>
      </c>
      <c r="I5008" t="s">
        <v>5123</v>
      </c>
    </row>
    <row r="5009" spans="1:9" x14ac:dyDescent="0.3">
      <c r="A5009" t="s">
        <v>10125</v>
      </c>
      <c r="B5009" t="s">
        <v>80</v>
      </c>
      <c r="C5009">
        <v>8989697390</v>
      </c>
      <c r="D5009" s="2">
        <v>1</v>
      </c>
      <c r="E5009" t="str">
        <f>"4574674200884427"</f>
        <v>4574674200884427</v>
      </c>
      <c r="F5009" t="str">
        <f>"955"</f>
        <v>955</v>
      </c>
      <c r="G5009">
        <v>1</v>
      </c>
      <c r="H5009">
        <v>2023</v>
      </c>
      <c r="I5009" t="s">
        <v>5124</v>
      </c>
    </row>
    <row r="5010" spans="1:9" x14ac:dyDescent="0.3">
      <c r="A5010" t="s">
        <v>10125</v>
      </c>
      <c r="B5010" t="s">
        <v>80</v>
      </c>
      <c r="C5010">
        <v>8989697390</v>
      </c>
      <c r="D5010" s="2">
        <v>1</v>
      </c>
      <c r="E5010" t="str">
        <f>"4574674200884435"</f>
        <v>4574674200884435</v>
      </c>
      <c r="F5010" t="str">
        <f>"053"</f>
        <v>053</v>
      </c>
      <c r="G5010">
        <v>1</v>
      </c>
      <c r="H5010">
        <v>2023</v>
      </c>
      <c r="I5010" t="s">
        <v>5125</v>
      </c>
    </row>
    <row r="5011" spans="1:9" x14ac:dyDescent="0.3">
      <c r="A5011" t="s">
        <v>10125</v>
      </c>
      <c r="B5011" t="s">
        <v>80</v>
      </c>
      <c r="C5011">
        <v>8989697390</v>
      </c>
      <c r="D5011" s="2">
        <v>1</v>
      </c>
      <c r="E5011" t="str">
        <f>"4574674200884450"</f>
        <v>4574674200884450</v>
      </c>
      <c r="F5011" t="str">
        <f>"513"</f>
        <v>513</v>
      </c>
      <c r="G5011">
        <v>1</v>
      </c>
      <c r="H5011">
        <v>2023</v>
      </c>
      <c r="I5011" t="s">
        <v>5126</v>
      </c>
    </row>
    <row r="5012" spans="1:9" x14ac:dyDescent="0.3">
      <c r="A5012" t="s">
        <v>10125</v>
      </c>
      <c r="B5012" t="s">
        <v>80</v>
      </c>
      <c r="C5012">
        <v>8989697390</v>
      </c>
      <c r="D5012" s="2">
        <v>1</v>
      </c>
      <c r="E5012" t="str">
        <f>"4574674200884484"</f>
        <v>4574674200884484</v>
      </c>
      <c r="F5012" t="str">
        <f>"038"</f>
        <v>038</v>
      </c>
      <c r="G5012">
        <v>1</v>
      </c>
      <c r="H5012">
        <v>2023</v>
      </c>
      <c r="I5012" t="s">
        <v>5127</v>
      </c>
    </row>
    <row r="5013" spans="1:9" x14ac:dyDescent="0.3">
      <c r="A5013" t="s">
        <v>10125</v>
      </c>
      <c r="B5013" t="s">
        <v>80</v>
      </c>
      <c r="C5013">
        <v>8989697390</v>
      </c>
      <c r="D5013" s="2">
        <v>1</v>
      </c>
      <c r="E5013" t="str">
        <f>"4574674200884492"</f>
        <v>4574674200884492</v>
      </c>
      <c r="F5013" t="str">
        <f>"964"</f>
        <v>964</v>
      </c>
      <c r="G5013">
        <v>1</v>
      </c>
      <c r="H5013">
        <v>2023</v>
      </c>
      <c r="I5013" t="s">
        <v>5128</v>
      </c>
    </row>
    <row r="5014" spans="1:9" x14ac:dyDescent="0.3">
      <c r="A5014" t="s">
        <v>10125</v>
      </c>
      <c r="B5014" t="s">
        <v>80</v>
      </c>
      <c r="C5014">
        <v>8989697390</v>
      </c>
      <c r="D5014" s="2">
        <v>1</v>
      </c>
      <c r="E5014" t="str">
        <f>"4574674200884310"</f>
        <v>4574674200884310</v>
      </c>
      <c r="F5014" t="str">
        <f>"065"</f>
        <v>065</v>
      </c>
      <c r="G5014">
        <v>1</v>
      </c>
      <c r="H5014">
        <v>2023</v>
      </c>
      <c r="I5014" t="s">
        <v>5129</v>
      </c>
    </row>
    <row r="5015" spans="1:9" x14ac:dyDescent="0.3">
      <c r="A5015" t="s">
        <v>10125</v>
      </c>
      <c r="B5015" t="s">
        <v>80</v>
      </c>
      <c r="C5015">
        <v>8989697390</v>
      </c>
      <c r="D5015" s="2">
        <v>1</v>
      </c>
      <c r="E5015" t="str">
        <f>"4574674200884559"</f>
        <v>4574674200884559</v>
      </c>
      <c r="F5015" t="str">
        <f>"390"</f>
        <v>390</v>
      </c>
      <c r="G5015">
        <v>1</v>
      </c>
      <c r="H5015">
        <v>2023</v>
      </c>
      <c r="I5015" t="s">
        <v>5130</v>
      </c>
    </row>
    <row r="5016" spans="1:9" x14ac:dyDescent="0.3">
      <c r="A5016" t="s">
        <v>10125</v>
      </c>
      <c r="B5016" t="s">
        <v>80</v>
      </c>
      <c r="C5016">
        <v>8989697390</v>
      </c>
      <c r="D5016" s="2">
        <v>1</v>
      </c>
      <c r="E5016" t="str">
        <f>"4574674200884344"</f>
        <v>4574674200884344</v>
      </c>
      <c r="F5016" t="str">
        <f>"097"</f>
        <v>097</v>
      </c>
      <c r="G5016">
        <v>1</v>
      </c>
      <c r="H5016">
        <v>2023</v>
      </c>
      <c r="I5016" t="s">
        <v>5131</v>
      </c>
    </row>
    <row r="5017" spans="1:9" x14ac:dyDescent="0.3">
      <c r="A5017" t="s">
        <v>10125</v>
      </c>
      <c r="B5017" t="s">
        <v>80</v>
      </c>
      <c r="C5017">
        <v>8989697390</v>
      </c>
      <c r="D5017" s="2">
        <v>1</v>
      </c>
      <c r="E5017" t="str">
        <f>"4574674200884591"</f>
        <v>4574674200884591</v>
      </c>
      <c r="F5017" t="str">
        <f>"208"</f>
        <v>208</v>
      </c>
      <c r="G5017">
        <v>1</v>
      </c>
      <c r="H5017">
        <v>2023</v>
      </c>
      <c r="I5017" t="s">
        <v>5132</v>
      </c>
    </row>
    <row r="5018" spans="1:9" x14ac:dyDescent="0.3">
      <c r="A5018" t="s">
        <v>10125</v>
      </c>
      <c r="B5018" t="s">
        <v>80</v>
      </c>
      <c r="C5018">
        <v>8989697390</v>
      </c>
      <c r="D5018" s="2">
        <v>1</v>
      </c>
      <c r="E5018" t="str">
        <f>"4574674200884609"</f>
        <v>4574674200884609</v>
      </c>
      <c r="F5018" t="str">
        <f>"699"</f>
        <v>699</v>
      </c>
      <c r="G5018">
        <v>1</v>
      </c>
      <c r="H5018">
        <v>2023</v>
      </c>
      <c r="I5018" t="s">
        <v>5133</v>
      </c>
    </row>
    <row r="5019" spans="1:9" x14ac:dyDescent="0.3">
      <c r="A5019" t="s">
        <v>10163</v>
      </c>
      <c r="B5019" t="s">
        <v>57</v>
      </c>
      <c r="C5019">
        <v>8989697390</v>
      </c>
      <c r="D5019" s="2">
        <v>1</v>
      </c>
      <c r="E5019" t="str">
        <f>"4574674200884617"</f>
        <v>4574674200884617</v>
      </c>
      <c r="F5019" t="str">
        <f>"034"</f>
        <v>034</v>
      </c>
      <c r="G5019">
        <v>1</v>
      </c>
      <c r="H5019">
        <v>2023</v>
      </c>
      <c r="I5019" t="s">
        <v>5134</v>
      </c>
    </row>
    <row r="5020" spans="1:9" x14ac:dyDescent="0.3">
      <c r="A5020" t="s">
        <v>10163</v>
      </c>
      <c r="B5020" t="s">
        <v>57</v>
      </c>
      <c r="C5020">
        <v>8989697390</v>
      </c>
      <c r="D5020" s="2">
        <v>1</v>
      </c>
      <c r="E5020" t="str">
        <f>"4574674200884658"</f>
        <v>4574674200884658</v>
      </c>
      <c r="F5020" t="str">
        <f>"093"</f>
        <v>093</v>
      </c>
      <c r="G5020">
        <v>1</v>
      </c>
      <c r="H5020">
        <v>2023</v>
      </c>
      <c r="I5020" t="s">
        <v>5135</v>
      </c>
    </row>
    <row r="5021" spans="1:9" x14ac:dyDescent="0.3">
      <c r="A5021" t="s">
        <v>10163</v>
      </c>
      <c r="B5021" t="s">
        <v>57</v>
      </c>
      <c r="C5021">
        <v>8989697390</v>
      </c>
      <c r="D5021" s="2">
        <v>1</v>
      </c>
      <c r="E5021" t="str">
        <f>"4574674200884732"</f>
        <v>4574674200884732</v>
      </c>
      <c r="F5021" t="str">
        <f>"476"</f>
        <v>476</v>
      </c>
      <c r="G5021">
        <v>1</v>
      </c>
      <c r="H5021">
        <v>2023</v>
      </c>
      <c r="I5021" t="s">
        <v>5136</v>
      </c>
    </row>
    <row r="5022" spans="1:9" x14ac:dyDescent="0.3">
      <c r="A5022" t="s">
        <v>10163</v>
      </c>
      <c r="B5022" t="s">
        <v>57</v>
      </c>
      <c r="C5022">
        <v>8989697390</v>
      </c>
      <c r="D5022" s="2">
        <v>1</v>
      </c>
      <c r="E5022" t="str">
        <f>"4574674200884831"</f>
        <v>4574674200884831</v>
      </c>
      <c r="F5022" t="str">
        <f>"078"</f>
        <v>078</v>
      </c>
      <c r="G5022">
        <v>1</v>
      </c>
      <c r="H5022">
        <v>2023</v>
      </c>
      <c r="I5022" t="s">
        <v>5137</v>
      </c>
    </row>
    <row r="5023" spans="1:9" x14ac:dyDescent="0.3">
      <c r="A5023" t="s">
        <v>10163</v>
      </c>
      <c r="B5023" t="s">
        <v>57</v>
      </c>
      <c r="C5023">
        <v>8989697390</v>
      </c>
      <c r="D5023" s="2">
        <v>1</v>
      </c>
      <c r="E5023" t="str">
        <f>"4574674200884765"</f>
        <v>4574674200884765</v>
      </c>
      <c r="F5023" t="str">
        <f>"428"</f>
        <v>428</v>
      </c>
      <c r="G5023">
        <v>1</v>
      </c>
      <c r="H5023">
        <v>2023</v>
      </c>
      <c r="I5023" t="s">
        <v>5138</v>
      </c>
    </row>
    <row r="5024" spans="1:9" x14ac:dyDescent="0.3">
      <c r="A5024" t="s">
        <v>10163</v>
      </c>
      <c r="B5024" t="s">
        <v>57</v>
      </c>
      <c r="C5024">
        <v>8989697390</v>
      </c>
      <c r="D5024" s="2">
        <v>1</v>
      </c>
      <c r="E5024" t="str">
        <f>"4574674200884781"</f>
        <v>4574674200884781</v>
      </c>
      <c r="F5024" t="str">
        <f>"776"</f>
        <v>776</v>
      </c>
      <c r="G5024">
        <v>1</v>
      </c>
      <c r="H5024">
        <v>2023</v>
      </c>
      <c r="I5024" t="s">
        <v>5139</v>
      </c>
    </row>
    <row r="5025" spans="1:9" x14ac:dyDescent="0.3">
      <c r="A5025" t="s">
        <v>10163</v>
      </c>
      <c r="B5025" t="s">
        <v>57</v>
      </c>
      <c r="C5025">
        <v>8989697390</v>
      </c>
      <c r="D5025" s="2">
        <v>1</v>
      </c>
      <c r="E5025" t="str">
        <f>"4574674200884799"</f>
        <v>4574674200884799</v>
      </c>
      <c r="F5025" t="str">
        <f>"459"</f>
        <v>459</v>
      </c>
      <c r="G5025">
        <v>1</v>
      </c>
      <c r="H5025">
        <v>2023</v>
      </c>
      <c r="I5025" t="s">
        <v>5140</v>
      </c>
    </row>
    <row r="5026" spans="1:9" x14ac:dyDescent="0.3">
      <c r="A5026" t="s">
        <v>10163</v>
      </c>
      <c r="B5026" t="s">
        <v>57</v>
      </c>
      <c r="C5026">
        <v>8989697390</v>
      </c>
      <c r="D5026" s="2">
        <v>1</v>
      </c>
      <c r="E5026" t="str">
        <f>"4574674200884864"</f>
        <v>4574674200884864</v>
      </c>
      <c r="F5026" t="str">
        <f>"201"</f>
        <v>201</v>
      </c>
      <c r="G5026">
        <v>1</v>
      </c>
      <c r="H5026">
        <v>2023</v>
      </c>
      <c r="I5026" t="s">
        <v>5141</v>
      </c>
    </row>
    <row r="5027" spans="1:9" x14ac:dyDescent="0.3">
      <c r="A5027" t="s">
        <v>10163</v>
      </c>
      <c r="B5027" t="s">
        <v>57</v>
      </c>
      <c r="C5027">
        <v>8989697390</v>
      </c>
      <c r="D5027" s="2">
        <v>1</v>
      </c>
      <c r="E5027" t="str">
        <f>"4574674200885036"</f>
        <v>4574674200885036</v>
      </c>
      <c r="F5027" t="str">
        <f>"454"</f>
        <v>454</v>
      </c>
      <c r="G5027">
        <v>1</v>
      </c>
      <c r="H5027">
        <v>2023</v>
      </c>
      <c r="I5027" t="s">
        <v>5142</v>
      </c>
    </row>
    <row r="5028" spans="1:9" x14ac:dyDescent="0.3">
      <c r="A5028" t="s">
        <v>10163</v>
      </c>
      <c r="B5028" t="s">
        <v>57</v>
      </c>
      <c r="C5028">
        <v>8989697390</v>
      </c>
      <c r="D5028" s="2">
        <v>1</v>
      </c>
      <c r="E5028" t="str">
        <f>"4574674200885077"</f>
        <v>4574674200885077</v>
      </c>
      <c r="F5028" t="str">
        <f>"841"</f>
        <v>841</v>
      </c>
      <c r="G5028">
        <v>1</v>
      </c>
      <c r="H5028">
        <v>2023</v>
      </c>
      <c r="I5028" t="s">
        <v>5143</v>
      </c>
    </row>
    <row r="5029" spans="1:9" x14ac:dyDescent="0.3">
      <c r="A5029" t="s">
        <v>10164</v>
      </c>
      <c r="B5029" t="s">
        <v>58</v>
      </c>
      <c r="C5029">
        <v>8989697390</v>
      </c>
      <c r="D5029" s="2">
        <v>1</v>
      </c>
      <c r="E5029" t="str">
        <f>"4574674200885093"</f>
        <v>4574674200885093</v>
      </c>
      <c r="F5029" t="str">
        <f>"662"</f>
        <v>662</v>
      </c>
      <c r="G5029">
        <v>1</v>
      </c>
      <c r="H5029">
        <v>2023</v>
      </c>
      <c r="I5029" t="s">
        <v>5144</v>
      </c>
    </row>
    <row r="5030" spans="1:9" x14ac:dyDescent="0.3">
      <c r="A5030" t="s">
        <v>10164</v>
      </c>
      <c r="B5030" t="s">
        <v>58</v>
      </c>
      <c r="C5030">
        <v>8989697390</v>
      </c>
      <c r="D5030" s="2">
        <v>1</v>
      </c>
      <c r="E5030" t="str">
        <f>"4574674200885143"</f>
        <v>4574674200885143</v>
      </c>
      <c r="F5030" t="str">
        <f>"330"</f>
        <v>330</v>
      </c>
      <c r="G5030">
        <v>1</v>
      </c>
      <c r="H5030">
        <v>2023</v>
      </c>
      <c r="I5030" t="s">
        <v>5145</v>
      </c>
    </row>
    <row r="5031" spans="1:9" x14ac:dyDescent="0.3">
      <c r="A5031" t="s">
        <v>10164</v>
      </c>
      <c r="B5031" t="s">
        <v>58</v>
      </c>
      <c r="C5031">
        <v>8989697390</v>
      </c>
      <c r="D5031" s="2">
        <v>1</v>
      </c>
      <c r="E5031" t="str">
        <f>"4574674200885150"</f>
        <v>4574674200885150</v>
      </c>
      <c r="F5031" t="str">
        <f>"808"</f>
        <v>808</v>
      </c>
      <c r="G5031">
        <v>1</v>
      </c>
      <c r="H5031">
        <v>2023</v>
      </c>
      <c r="I5031" t="s">
        <v>5146</v>
      </c>
    </row>
    <row r="5032" spans="1:9" x14ac:dyDescent="0.3">
      <c r="A5032" t="s">
        <v>10164</v>
      </c>
      <c r="B5032" t="s">
        <v>58</v>
      </c>
      <c r="C5032">
        <v>8989697390</v>
      </c>
      <c r="D5032" s="2">
        <v>1</v>
      </c>
      <c r="E5032" t="str">
        <f>"4574674200884930"</f>
        <v>4574674200884930</v>
      </c>
      <c r="F5032" t="str">
        <f>"687"</f>
        <v>687</v>
      </c>
      <c r="G5032">
        <v>1</v>
      </c>
      <c r="H5032">
        <v>2023</v>
      </c>
      <c r="I5032" t="s">
        <v>5147</v>
      </c>
    </row>
    <row r="5033" spans="1:9" x14ac:dyDescent="0.3">
      <c r="A5033" t="s">
        <v>10164</v>
      </c>
      <c r="B5033" t="s">
        <v>58</v>
      </c>
      <c r="C5033">
        <v>8989697390</v>
      </c>
      <c r="D5033" s="2">
        <v>1</v>
      </c>
      <c r="E5033" t="str">
        <f>"4574674200885192"</f>
        <v>4574674200885192</v>
      </c>
      <c r="F5033" t="str">
        <f>"467"</f>
        <v>467</v>
      </c>
      <c r="G5033">
        <v>1</v>
      </c>
      <c r="H5033">
        <v>2023</v>
      </c>
      <c r="I5033" t="s">
        <v>5148</v>
      </c>
    </row>
    <row r="5034" spans="1:9" x14ac:dyDescent="0.3">
      <c r="A5034" t="s">
        <v>10164</v>
      </c>
      <c r="B5034" t="s">
        <v>58</v>
      </c>
      <c r="C5034">
        <v>8989697390</v>
      </c>
      <c r="D5034" s="2">
        <v>1</v>
      </c>
      <c r="E5034" t="str">
        <f>"4574674200885218"</f>
        <v>4574674200885218</v>
      </c>
      <c r="F5034" t="str">
        <f>"012"</f>
        <v>012</v>
      </c>
      <c r="G5034">
        <v>1</v>
      </c>
      <c r="H5034">
        <v>2023</v>
      </c>
      <c r="I5034" t="s">
        <v>5149</v>
      </c>
    </row>
    <row r="5035" spans="1:9" x14ac:dyDescent="0.3">
      <c r="A5035" t="s">
        <v>10164</v>
      </c>
      <c r="B5035" t="s">
        <v>58</v>
      </c>
      <c r="C5035">
        <v>8989697390</v>
      </c>
      <c r="D5035" s="2">
        <v>1</v>
      </c>
      <c r="E5035" t="str">
        <f>"4574674200885267"</f>
        <v>4574674200885267</v>
      </c>
      <c r="F5035" t="str">
        <f>"102"</f>
        <v>102</v>
      </c>
      <c r="G5035">
        <v>1</v>
      </c>
      <c r="H5035">
        <v>2023</v>
      </c>
      <c r="I5035" t="s">
        <v>5150</v>
      </c>
    </row>
    <row r="5036" spans="1:9" x14ac:dyDescent="0.3">
      <c r="A5036" t="s">
        <v>10164</v>
      </c>
      <c r="B5036" t="s">
        <v>58</v>
      </c>
      <c r="C5036">
        <v>8989697390</v>
      </c>
      <c r="D5036" s="2">
        <v>1</v>
      </c>
      <c r="E5036" t="str">
        <f>"4574674200885291"</f>
        <v>4574674200885291</v>
      </c>
      <c r="F5036" t="str">
        <f>"680"</f>
        <v>680</v>
      </c>
      <c r="G5036">
        <v>1</v>
      </c>
      <c r="H5036">
        <v>2023</v>
      </c>
      <c r="I5036" t="s">
        <v>5151</v>
      </c>
    </row>
    <row r="5037" spans="1:9" x14ac:dyDescent="0.3">
      <c r="A5037" t="s">
        <v>10164</v>
      </c>
      <c r="B5037" t="s">
        <v>58</v>
      </c>
      <c r="C5037">
        <v>8989697390</v>
      </c>
      <c r="D5037" s="2">
        <v>1</v>
      </c>
      <c r="E5037" t="str">
        <f>"4574674200885309"</f>
        <v>4574674200885309</v>
      </c>
      <c r="F5037" t="str">
        <f>"140"</f>
        <v>140</v>
      </c>
      <c r="G5037">
        <v>1</v>
      </c>
      <c r="H5037">
        <v>2023</v>
      </c>
      <c r="I5037" t="s">
        <v>5152</v>
      </c>
    </row>
    <row r="5038" spans="1:9" x14ac:dyDescent="0.3">
      <c r="A5038" t="s">
        <v>10164</v>
      </c>
      <c r="B5038" t="s">
        <v>58</v>
      </c>
      <c r="C5038">
        <v>8989697390</v>
      </c>
      <c r="D5038" s="2">
        <v>1</v>
      </c>
      <c r="E5038" t="str">
        <f>"4574674200884989"</f>
        <v>4574674200884989</v>
      </c>
      <c r="F5038" t="str">
        <f>"321"</f>
        <v>321</v>
      </c>
      <c r="G5038">
        <v>1</v>
      </c>
      <c r="H5038">
        <v>2023</v>
      </c>
      <c r="I5038" t="s">
        <v>5153</v>
      </c>
    </row>
    <row r="5039" spans="1:9" x14ac:dyDescent="0.3">
      <c r="A5039" t="s">
        <v>10124</v>
      </c>
      <c r="B5039" t="s">
        <v>79</v>
      </c>
      <c r="C5039">
        <v>8989697390</v>
      </c>
      <c r="D5039" s="2">
        <v>1</v>
      </c>
      <c r="E5039" t="str">
        <f>"4574674200885366"</f>
        <v>4574674200885366</v>
      </c>
      <c r="F5039" t="str">
        <f>"808"</f>
        <v>808</v>
      </c>
      <c r="G5039">
        <v>1</v>
      </c>
      <c r="H5039">
        <v>2023</v>
      </c>
      <c r="I5039" t="s">
        <v>5154</v>
      </c>
    </row>
    <row r="5040" spans="1:9" x14ac:dyDescent="0.3">
      <c r="A5040" t="s">
        <v>10124</v>
      </c>
      <c r="B5040" t="s">
        <v>79</v>
      </c>
      <c r="C5040">
        <v>8989697390</v>
      </c>
      <c r="D5040" s="2">
        <v>1</v>
      </c>
      <c r="E5040" t="str">
        <f>"4574674200885382"</f>
        <v>4574674200885382</v>
      </c>
      <c r="F5040" t="str">
        <f>"322"</f>
        <v>322</v>
      </c>
      <c r="G5040">
        <v>1</v>
      </c>
      <c r="H5040">
        <v>2023</v>
      </c>
      <c r="I5040" t="s">
        <v>5155</v>
      </c>
    </row>
    <row r="5041" spans="1:9" x14ac:dyDescent="0.3">
      <c r="A5041" t="s">
        <v>10124</v>
      </c>
      <c r="B5041" t="s">
        <v>79</v>
      </c>
      <c r="C5041">
        <v>8989697390</v>
      </c>
      <c r="D5041" s="2">
        <v>1</v>
      </c>
      <c r="E5041" t="str">
        <f>"4574674200885465"</f>
        <v>4574674200885465</v>
      </c>
      <c r="F5041" t="str">
        <f>"760"</f>
        <v>760</v>
      </c>
      <c r="G5041">
        <v>1</v>
      </c>
      <c r="H5041">
        <v>2023</v>
      </c>
      <c r="I5041" t="s">
        <v>5156</v>
      </c>
    </row>
    <row r="5042" spans="1:9" x14ac:dyDescent="0.3">
      <c r="A5042" t="s">
        <v>10124</v>
      </c>
      <c r="B5042" t="s">
        <v>79</v>
      </c>
      <c r="C5042">
        <v>8989697390</v>
      </c>
      <c r="D5042" s="2">
        <v>1</v>
      </c>
      <c r="E5042" t="str">
        <f>"4574674200885614"</f>
        <v>4574674200885614</v>
      </c>
      <c r="F5042" t="str">
        <f>"528"</f>
        <v>528</v>
      </c>
      <c r="G5042">
        <v>1</v>
      </c>
      <c r="H5042">
        <v>2023</v>
      </c>
      <c r="I5042" t="s">
        <v>5157</v>
      </c>
    </row>
    <row r="5043" spans="1:9" x14ac:dyDescent="0.3">
      <c r="A5043" t="s">
        <v>10124</v>
      </c>
      <c r="B5043" t="s">
        <v>79</v>
      </c>
      <c r="C5043">
        <v>8989697390</v>
      </c>
      <c r="D5043" s="2">
        <v>1</v>
      </c>
      <c r="E5043" t="str">
        <f>"4574674200885655"</f>
        <v>4574674200885655</v>
      </c>
      <c r="F5043" t="str">
        <f>"484"</f>
        <v>484</v>
      </c>
      <c r="G5043">
        <v>1</v>
      </c>
      <c r="H5043">
        <v>2023</v>
      </c>
      <c r="I5043" t="s">
        <v>5158</v>
      </c>
    </row>
    <row r="5044" spans="1:9" x14ac:dyDescent="0.3">
      <c r="A5044" t="s">
        <v>10124</v>
      </c>
      <c r="B5044" t="s">
        <v>79</v>
      </c>
      <c r="C5044">
        <v>8989697390</v>
      </c>
      <c r="D5044" s="2">
        <v>1</v>
      </c>
      <c r="E5044" t="str">
        <f>"4574674200885671"</f>
        <v>4574674200885671</v>
      </c>
      <c r="F5044" t="str">
        <f>"903"</f>
        <v>903</v>
      </c>
      <c r="G5044">
        <v>1</v>
      </c>
      <c r="H5044">
        <v>2023</v>
      </c>
      <c r="I5044" t="s">
        <v>5159</v>
      </c>
    </row>
    <row r="5045" spans="1:9" x14ac:dyDescent="0.3">
      <c r="A5045" t="s">
        <v>10124</v>
      </c>
      <c r="B5045" t="s">
        <v>79</v>
      </c>
      <c r="C5045">
        <v>8989697390</v>
      </c>
      <c r="D5045" s="2">
        <v>1</v>
      </c>
      <c r="E5045" t="str">
        <f>"4574674200885705"</f>
        <v>4574674200885705</v>
      </c>
      <c r="F5045" t="str">
        <f>"652"</f>
        <v>652</v>
      </c>
      <c r="G5045">
        <v>1</v>
      </c>
      <c r="H5045">
        <v>2023</v>
      </c>
      <c r="I5045" t="s">
        <v>5160</v>
      </c>
    </row>
    <row r="5046" spans="1:9" x14ac:dyDescent="0.3">
      <c r="A5046" t="s">
        <v>10124</v>
      </c>
      <c r="B5046" t="s">
        <v>79</v>
      </c>
      <c r="C5046">
        <v>8989697390</v>
      </c>
      <c r="D5046" s="2">
        <v>1</v>
      </c>
      <c r="E5046" t="str">
        <f>"4574674200885754"</f>
        <v>4574674200885754</v>
      </c>
      <c r="F5046" t="str">
        <f>"475"</f>
        <v>475</v>
      </c>
      <c r="G5046">
        <v>1</v>
      </c>
      <c r="H5046">
        <v>2023</v>
      </c>
      <c r="I5046" t="s">
        <v>5161</v>
      </c>
    </row>
    <row r="5047" spans="1:9" x14ac:dyDescent="0.3">
      <c r="A5047" t="s">
        <v>10124</v>
      </c>
      <c r="B5047" t="s">
        <v>79</v>
      </c>
      <c r="C5047">
        <v>8989697390</v>
      </c>
      <c r="D5047" s="2">
        <v>1</v>
      </c>
      <c r="E5047" t="str">
        <f>"4574674200885788"</f>
        <v>4574674200885788</v>
      </c>
      <c r="F5047" t="str">
        <f>"609"</f>
        <v>609</v>
      </c>
      <c r="G5047">
        <v>1</v>
      </c>
      <c r="H5047">
        <v>2023</v>
      </c>
      <c r="I5047" t="s">
        <v>5162</v>
      </c>
    </row>
    <row r="5048" spans="1:9" x14ac:dyDescent="0.3">
      <c r="A5048" t="s">
        <v>10124</v>
      </c>
      <c r="B5048" t="s">
        <v>79</v>
      </c>
      <c r="C5048">
        <v>8989697390</v>
      </c>
      <c r="D5048" s="2">
        <v>1</v>
      </c>
      <c r="E5048" t="str">
        <f>"4574674200885507"</f>
        <v>4574674200885507</v>
      </c>
      <c r="F5048" t="str">
        <f>"543"</f>
        <v>543</v>
      </c>
      <c r="G5048">
        <v>1</v>
      </c>
      <c r="H5048">
        <v>2023</v>
      </c>
      <c r="I5048" t="s">
        <v>5163</v>
      </c>
    </row>
    <row r="5049" spans="1:9" x14ac:dyDescent="0.3">
      <c r="A5049" t="s">
        <v>10125</v>
      </c>
      <c r="B5049" t="s">
        <v>80</v>
      </c>
      <c r="C5049">
        <v>8989697390</v>
      </c>
      <c r="D5049" s="2">
        <v>1</v>
      </c>
      <c r="E5049" t="str">
        <f>"4574674200885796"</f>
        <v>4574674200885796</v>
      </c>
      <c r="F5049" t="str">
        <f>"952"</f>
        <v>952</v>
      </c>
      <c r="G5049">
        <v>1</v>
      </c>
      <c r="H5049">
        <v>2023</v>
      </c>
      <c r="I5049" t="s">
        <v>5164</v>
      </c>
    </row>
    <row r="5050" spans="1:9" x14ac:dyDescent="0.3">
      <c r="A5050" t="s">
        <v>10125</v>
      </c>
      <c r="B5050" t="s">
        <v>80</v>
      </c>
      <c r="C5050">
        <v>8989697390</v>
      </c>
      <c r="D5050" s="2">
        <v>1</v>
      </c>
      <c r="E5050" t="str">
        <f>"4574674200885820"</f>
        <v>4574674200885820</v>
      </c>
      <c r="F5050" t="str">
        <f>"870"</f>
        <v>870</v>
      </c>
      <c r="G5050">
        <v>1</v>
      </c>
      <c r="H5050">
        <v>2023</v>
      </c>
      <c r="I5050" t="s">
        <v>5165</v>
      </c>
    </row>
    <row r="5051" spans="1:9" x14ac:dyDescent="0.3">
      <c r="A5051" t="s">
        <v>10125</v>
      </c>
      <c r="B5051" t="s">
        <v>80</v>
      </c>
      <c r="C5051">
        <v>8989697390</v>
      </c>
      <c r="D5051" s="2">
        <v>1</v>
      </c>
      <c r="E5051" t="str">
        <f>"4574674200885580"</f>
        <v>4574674200885580</v>
      </c>
      <c r="F5051" t="str">
        <f>"866"</f>
        <v>866</v>
      </c>
      <c r="G5051">
        <v>1</v>
      </c>
      <c r="H5051">
        <v>2023</v>
      </c>
      <c r="I5051" t="s">
        <v>5166</v>
      </c>
    </row>
    <row r="5052" spans="1:9" x14ac:dyDescent="0.3">
      <c r="A5052" t="s">
        <v>10125</v>
      </c>
      <c r="B5052" t="s">
        <v>80</v>
      </c>
      <c r="C5052">
        <v>8989697390</v>
      </c>
      <c r="D5052" s="2">
        <v>1</v>
      </c>
      <c r="E5052" t="str">
        <f>"4574674200885853"</f>
        <v>4574674200885853</v>
      </c>
      <c r="F5052" t="str">
        <f>"776"</f>
        <v>776</v>
      </c>
      <c r="G5052">
        <v>1</v>
      </c>
      <c r="H5052">
        <v>2023</v>
      </c>
      <c r="I5052" t="s">
        <v>5167</v>
      </c>
    </row>
    <row r="5053" spans="1:9" x14ac:dyDescent="0.3">
      <c r="A5053" t="s">
        <v>10125</v>
      </c>
      <c r="B5053" t="s">
        <v>80</v>
      </c>
      <c r="C5053">
        <v>8989697390</v>
      </c>
      <c r="D5053" s="2">
        <v>1</v>
      </c>
      <c r="E5053" t="str">
        <f>"4574674200885911"</f>
        <v>4574674200885911</v>
      </c>
      <c r="F5053" t="str">
        <f>"501"</f>
        <v>501</v>
      </c>
      <c r="G5053">
        <v>1</v>
      </c>
      <c r="H5053">
        <v>2023</v>
      </c>
      <c r="I5053" t="s">
        <v>5168</v>
      </c>
    </row>
    <row r="5054" spans="1:9" x14ac:dyDescent="0.3">
      <c r="A5054" t="s">
        <v>10125</v>
      </c>
      <c r="B5054" t="s">
        <v>80</v>
      </c>
      <c r="C5054">
        <v>8989697390</v>
      </c>
      <c r="D5054" s="2">
        <v>1</v>
      </c>
      <c r="E5054" t="str">
        <f>"4574674200885945"</f>
        <v>4574674200885945</v>
      </c>
      <c r="F5054" t="str">
        <f>"857"</f>
        <v>857</v>
      </c>
      <c r="G5054">
        <v>1</v>
      </c>
      <c r="H5054">
        <v>2023</v>
      </c>
      <c r="I5054" t="s">
        <v>5169</v>
      </c>
    </row>
    <row r="5055" spans="1:9" x14ac:dyDescent="0.3">
      <c r="A5055" t="s">
        <v>10125</v>
      </c>
      <c r="B5055" t="s">
        <v>80</v>
      </c>
      <c r="C5055">
        <v>8989697390</v>
      </c>
      <c r="D5055" s="2">
        <v>1</v>
      </c>
      <c r="E5055" t="str">
        <f>"4574674200885960"</f>
        <v>4574674200885960</v>
      </c>
      <c r="F5055" t="str">
        <f>"982"</f>
        <v>982</v>
      </c>
      <c r="G5055">
        <v>1</v>
      </c>
      <c r="H5055">
        <v>2023</v>
      </c>
      <c r="I5055" t="s">
        <v>5170</v>
      </c>
    </row>
    <row r="5056" spans="1:9" x14ac:dyDescent="0.3">
      <c r="A5056" t="s">
        <v>10125</v>
      </c>
      <c r="B5056" t="s">
        <v>80</v>
      </c>
      <c r="C5056">
        <v>8989697390</v>
      </c>
      <c r="D5056" s="2">
        <v>1</v>
      </c>
      <c r="E5056" t="str">
        <f>"4574674200885994"</f>
        <v>4574674200885994</v>
      </c>
      <c r="F5056" t="str">
        <f>"176"</f>
        <v>176</v>
      </c>
      <c r="G5056">
        <v>1</v>
      </c>
      <c r="H5056">
        <v>2023</v>
      </c>
      <c r="I5056" t="s">
        <v>5171</v>
      </c>
    </row>
    <row r="5057" spans="1:9" x14ac:dyDescent="0.3">
      <c r="A5057" t="s">
        <v>10125</v>
      </c>
      <c r="B5057" t="s">
        <v>80</v>
      </c>
      <c r="C5057">
        <v>8989697390</v>
      </c>
      <c r="D5057" s="2">
        <v>1</v>
      </c>
      <c r="E5057" t="str">
        <f>"4574674200886018"</f>
        <v>4574674200886018</v>
      </c>
      <c r="F5057" t="str">
        <f>"933"</f>
        <v>933</v>
      </c>
      <c r="G5057">
        <v>1</v>
      </c>
      <c r="H5057">
        <v>2023</v>
      </c>
      <c r="I5057" t="s">
        <v>5172</v>
      </c>
    </row>
    <row r="5058" spans="1:9" x14ac:dyDescent="0.3">
      <c r="A5058" t="s">
        <v>10125</v>
      </c>
      <c r="B5058" t="s">
        <v>80</v>
      </c>
      <c r="C5058">
        <v>8989697390</v>
      </c>
      <c r="D5058" s="2">
        <v>1</v>
      </c>
      <c r="E5058" t="str">
        <f>"4574674200886265"</f>
        <v>4574674200886265</v>
      </c>
      <c r="F5058" t="str">
        <f>"119"</f>
        <v>119</v>
      </c>
      <c r="G5058">
        <v>1</v>
      </c>
      <c r="H5058">
        <v>2023</v>
      </c>
      <c r="I5058" t="s">
        <v>5173</v>
      </c>
    </row>
    <row r="5059" spans="1:9" x14ac:dyDescent="0.3">
      <c r="A5059" t="s">
        <v>10169</v>
      </c>
      <c r="B5059" t="s">
        <v>70</v>
      </c>
      <c r="C5059">
        <v>8989697390</v>
      </c>
      <c r="D5059" s="2">
        <v>1</v>
      </c>
      <c r="E5059" t="str">
        <f>"4574674200886281"</f>
        <v>4574674200886281</v>
      </c>
      <c r="F5059" t="str">
        <f>"252"</f>
        <v>252</v>
      </c>
      <c r="G5059">
        <v>1</v>
      </c>
      <c r="H5059">
        <v>2023</v>
      </c>
      <c r="I5059" t="s">
        <v>5174</v>
      </c>
    </row>
    <row r="5060" spans="1:9" x14ac:dyDescent="0.3">
      <c r="A5060" t="s">
        <v>10169</v>
      </c>
      <c r="B5060" t="s">
        <v>70</v>
      </c>
      <c r="C5060">
        <v>8989697390</v>
      </c>
      <c r="D5060" s="2">
        <v>1</v>
      </c>
      <c r="E5060" t="str">
        <f>"4574674200886307"</f>
        <v>4574674200886307</v>
      </c>
      <c r="F5060" t="str">
        <f>"945"</f>
        <v>945</v>
      </c>
      <c r="G5060">
        <v>1</v>
      </c>
      <c r="H5060">
        <v>2023</v>
      </c>
      <c r="I5060" t="s">
        <v>5175</v>
      </c>
    </row>
    <row r="5061" spans="1:9" x14ac:dyDescent="0.3">
      <c r="A5061" t="s">
        <v>10169</v>
      </c>
      <c r="B5061" t="s">
        <v>70</v>
      </c>
      <c r="C5061">
        <v>8989697390</v>
      </c>
      <c r="D5061" s="2">
        <v>1</v>
      </c>
      <c r="E5061" t="str">
        <f>"4574674200886091"</f>
        <v>4574674200886091</v>
      </c>
      <c r="F5061" t="str">
        <f>"784"</f>
        <v>784</v>
      </c>
      <c r="G5061">
        <v>1</v>
      </c>
      <c r="H5061">
        <v>2023</v>
      </c>
      <c r="I5061" t="s">
        <v>5176</v>
      </c>
    </row>
    <row r="5062" spans="1:9" x14ac:dyDescent="0.3">
      <c r="A5062" t="s">
        <v>10169</v>
      </c>
      <c r="B5062" t="s">
        <v>70</v>
      </c>
      <c r="C5062">
        <v>8989697390</v>
      </c>
      <c r="D5062" s="2">
        <v>1</v>
      </c>
      <c r="E5062" t="str">
        <f>"4574674200886331"</f>
        <v>4574674200886331</v>
      </c>
      <c r="F5062" t="str">
        <f>"661"</f>
        <v>661</v>
      </c>
      <c r="G5062">
        <v>1</v>
      </c>
      <c r="H5062">
        <v>2023</v>
      </c>
      <c r="I5062" t="s">
        <v>5177</v>
      </c>
    </row>
    <row r="5063" spans="1:9" x14ac:dyDescent="0.3">
      <c r="A5063" t="s">
        <v>10169</v>
      </c>
      <c r="B5063" t="s">
        <v>70</v>
      </c>
      <c r="C5063">
        <v>8989697390</v>
      </c>
      <c r="D5063" s="2">
        <v>1</v>
      </c>
      <c r="E5063" t="str">
        <f>"4574674200886364"</f>
        <v>4574674200886364</v>
      </c>
      <c r="F5063" t="str">
        <f>"568"</f>
        <v>568</v>
      </c>
      <c r="G5063">
        <v>1</v>
      </c>
      <c r="H5063">
        <v>2023</v>
      </c>
      <c r="I5063" t="s">
        <v>5178</v>
      </c>
    </row>
    <row r="5064" spans="1:9" x14ac:dyDescent="0.3">
      <c r="A5064" t="s">
        <v>10169</v>
      </c>
      <c r="B5064" t="s">
        <v>70</v>
      </c>
      <c r="C5064">
        <v>8989697390</v>
      </c>
      <c r="D5064" s="2">
        <v>1</v>
      </c>
      <c r="E5064" t="str">
        <f>"4574674200886380"</f>
        <v>4574674200886380</v>
      </c>
      <c r="F5064" t="str">
        <f>"187"</f>
        <v>187</v>
      </c>
      <c r="G5064">
        <v>1</v>
      </c>
      <c r="H5064">
        <v>2023</v>
      </c>
      <c r="I5064" t="s">
        <v>5179</v>
      </c>
    </row>
    <row r="5065" spans="1:9" x14ac:dyDescent="0.3">
      <c r="A5065" t="s">
        <v>10169</v>
      </c>
      <c r="B5065" t="s">
        <v>70</v>
      </c>
      <c r="C5065">
        <v>8989697390</v>
      </c>
      <c r="D5065" s="2">
        <v>1</v>
      </c>
      <c r="E5065" t="str">
        <f>"4574674200886430"</f>
        <v>4574674200886430</v>
      </c>
      <c r="F5065" t="str">
        <f>"662"</f>
        <v>662</v>
      </c>
      <c r="G5065">
        <v>1</v>
      </c>
      <c r="H5065">
        <v>2023</v>
      </c>
      <c r="I5065" t="s">
        <v>5180</v>
      </c>
    </row>
    <row r="5066" spans="1:9" x14ac:dyDescent="0.3">
      <c r="A5066" t="s">
        <v>10169</v>
      </c>
      <c r="B5066" t="s">
        <v>70</v>
      </c>
      <c r="C5066">
        <v>8989697390</v>
      </c>
      <c r="D5066" s="2">
        <v>1</v>
      </c>
      <c r="E5066" t="str">
        <f>"4574674200886455"</f>
        <v>4574674200886455</v>
      </c>
      <c r="F5066" t="str">
        <f>"798"</f>
        <v>798</v>
      </c>
      <c r="G5066">
        <v>1</v>
      </c>
      <c r="H5066">
        <v>2023</v>
      </c>
      <c r="I5066" t="s">
        <v>5181</v>
      </c>
    </row>
    <row r="5067" spans="1:9" x14ac:dyDescent="0.3">
      <c r="A5067" t="s">
        <v>10169</v>
      </c>
      <c r="B5067" t="s">
        <v>70</v>
      </c>
      <c r="C5067">
        <v>8989697390</v>
      </c>
      <c r="D5067" s="2">
        <v>1</v>
      </c>
      <c r="E5067" t="str">
        <f>"4574674200886141"</f>
        <v>4574674200886141</v>
      </c>
      <c r="F5067" t="str">
        <f>"311"</f>
        <v>311</v>
      </c>
      <c r="G5067">
        <v>1</v>
      </c>
      <c r="H5067">
        <v>2023</v>
      </c>
      <c r="I5067" t="s">
        <v>5182</v>
      </c>
    </row>
    <row r="5068" spans="1:9" x14ac:dyDescent="0.3">
      <c r="A5068" t="s">
        <v>10169</v>
      </c>
      <c r="B5068" t="s">
        <v>70</v>
      </c>
      <c r="C5068">
        <v>8989697390</v>
      </c>
      <c r="D5068" s="2">
        <v>1</v>
      </c>
      <c r="E5068" t="str">
        <f>"4574674200886471"</f>
        <v>4574674200886471</v>
      </c>
      <c r="F5068" t="str">
        <f>"036"</f>
        <v>036</v>
      </c>
      <c r="G5068">
        <v>1</v>
      </c>
      <c r="H5068">
        <v>2023</v>
      </c>
      <c r="I5068" t="s">
        <v>5183</v>
      </c>
    </row>
    <row r="5069" spans="1:9" x14ac:dyDescent="0.3">
      <c r="A5069" t="s">
        <v>10128</v>
      </c>
      <c r="B5069" t="s">
        <v>71</v>
      </c>
      <c r="C5069">
        <v>8989697390</v>
      </c>
      <c r="D5069" s="2">
        <v>1</v>
      </c>
      <c r="E5069" t="str">
        <f>"4574674200886604"</f>
        <v>4574674200886604</v>
      </c>
      <c r="F5069" t="str">
        <f>"886"</f>
        <v>886</v>
      </c>
      <c r="G5069">
        <v>1</v>
      </c>
      <c r="H5069">
        <v>2023</v>
      </c>
      <c r="I5069" t="s">
        <v>5184</v>
      </c>
    </row>
    <row r="5070" spans="1:9" x14ac:dyDescent="0.3">
      <c r="A5070" t="s">
        <v>10128</v>
      </c>
      <c r="B5070" t="s">
        <v>71</v>
      </c>
      <c r="C5070">
        <v>8989697390</v>
      </c>
      <c r="D5070" s="2">
        <v>1</v>
      </c>
      <c r="E5070" t="str">
        <f>"4574674200886570"</f>
        <v>4574674200886570</v>
      </c>
      <c r="F5070" t="str">
        <f>"562"</f>
        <v>562</v>
      </c>
      <c r="G5070">
        <v>1</v>
      </c>
      <c r="H5070">
        <v>2023</v>
      </c>
      <c r="I5070" t="s">
        <v>5185</v>
      </c>
    </row>
    <row r="5071" spans="1:9" x14ac:dyDescent="0.3">
      <c r="A5071" t="s">
        <v>10128</v>
      </c>
      <c r="B5071" t="s">
        <v>71</v>
      </c>
      <c r="C5071">
        <v>8989697390</v>
      </c>
      <c r="D5071" s="2">
        <v>1</v>
      </c>
      <c r="E5071" t="str">
        <f>"4574674200886539"</f>
        <v>4574674200886539</v>
      </c>
      <c r="F5071" t="str">
        <f>"266"</f>
        <v>266</v>
      </c>
      <c r="G5071">
        <v>1</v>
      </c>
      <c r="H5071">
        <v>2023</v>
      </c>
      <c r="I5071" t="s">
        <v>5186</v>
      </c>
    </row>
    <row r="5072" spans="1:9" x14ac:dyDescent="0.3">
      <c r="A5072" t="s">
        <v>10128</v>
      </c>
      <c r="B5072" t="s">
        <v>71</v>
      </c>
      <c r="C5072">
        <v>8989697390</v>
      </c>
      <c r="D5072" s="2">
        <v>1</v>
      </c>
      <c r="E5072" t="str">
        <f>"4574674200886596"</f>
        <v>4574674200886596</v>
      </c>
      <c r="F5072" t="str">
        <f>"051"</f>
        <v>051</v>
      </c>
      <c r="G5072">
        <v>1</v>
      </c>
      <c r="H5072">
        <v>2023</v>
      </c>
      <c r="I5072" t="s">
        <v>5187</v>
      </c>
    </row>
    <row r="5073" spans="1:9" x14ac:dyDescent="0.3">
      <c r="A5073" t="s">
        <v>10128</v>
      </c>
      <c r="B5073" t="s">
        <v>71</v>
      </c>
      <c r="C5073">
        <v>8989697390</v>
      </c>
      <c r="D5073" s="2">
        <v>1</v>
      </c>
      <c r="E5073" t="str">
        <f>"4574674200886810"</f>
        <v>4574674200886810</v>
      </c>
      <c r="F5073" t="str">
        <f>"977"</f>
        <v>977</v>
      </c>
      <c r="G5073">
        <v>1</v>
      </c>
      <c r="H5073">
        <v>2023</v>
      </c>
      <c r="I5073" t="s">
        <v>5188</v>
      </c>
    </row>
    <row r="5074" spans="1:9" x14ac:dyDescent="0.3">
      <c r="A5074" t="s">
        <v>10128</v>
      </c>
      <c r="B5074" t="s">
        <v>71</v>
      </c>
      <c r="C5074">
        <v>8989697390</v>
      </c>
      <c r="D5074" s="2">
        <v>1</v>
      </c>
      <c r="E5074" t="str">
        <f>"4574674200886877"</f>
        <v>4574674200886877</v>
      </c>
      <c r="F5074" t="str">
        <f>"235"</f>
        <v>235</v>
      </c>
      <c r="G5074">
        <v>1</v>
      </c>
      <c r="H5074">
        <v>2023</v>
      </c>
      <c r="I5074" t="s">
        <v>5189</v>
      </c>
    </row>
    <row r="5075" spans="1:9" x14ac:dyDescent="0.3">
      <c r="A5075" t="s">
        <v>10128</v>
      </c>
      <c r="B5075" t="s">
        <v>71</v>
      </c>
      <c r="C5075">
        <v>8989697390</v>
      </c>
      <c r="D5075" s="2">
        <v>1</v>
      </c>
      <c r="E5075" t="str">
        <f>"4574674200886885"</f>
        <v>4574674200886885</v>
      </c>
      <c r="F5075" t="str">
        <f>"646"</f>
        <v>646</v>
      </c>
      <c r="G5075">
        <v>1</v>
      </c>
      <c r="H5075">
        <v>2023</v>
      </c>
      <c r="I5075" t="s">
        <v>5190</v>
      </c>
    </row>
    <row r="5076" spans="1:9" x14ac:dyDescent="0.3">
      <c r="A5076" t="s">
        <v>10128</v>
      </c>
      <c r="B5076" t="s">
        <v>71</v>
      </c>
      <c r="C5076">
        <v>8989697390</v>
      </c>
      <c r="D5076" s="2">
        <v>1</v>
      </c>
      <c r="E5076" t="str">
        <f>"4574674200886919"</f>
        <v>4574674200886919</v>
      </c>
      <c r="F5076" t="str">
        <f>"307"</f>
        <v>307</v>
      </c>
      <c r="G5076">
        <v>1</v>
      </c>
      <c r="H5076">
        <v>2023</v>
      </c>
      <c r="I5076" t="s">
        <v>5191</v>
      </c>
    </row>
    <row r="5077" spans="1:9" x14ac:dyDescent="0.3">
      <c r="A5077" t="s">
        <v>10128</v>
      </c>
      <c r="B5077" t="s">
        <v>71</v>
      </c>
      <c r="C5077">
        <v>8989697390</v>
      </c>
      <c r="D5077" s="2">
        <v>1</v>
      </c>
      <c r="E5077" t="str">
        <f>"4574674200886935"</f>
        <v>4574674200886935</v>
      </c>
      <c r="F5077" t="str">
        <f>"759"</f>
        <v>759</v>
      </c>
      <c r="G5077">
        <v>1</v>
      </c>
      <c r="H5077">
        <v>2023</v>
      </c>
      <c r="I5077" t="s">
        <v>5192</v>
      </c>
    </row>
    <row r="5078" spans="1:9" x14ac:dyDescent="0.3">
      <c r="A5078" t="s">
        <v>10128</v>
      </c>
      <c r="B5078" t="s">
        <v>71</v>
      </c>
      <c r="C5078">
        <v>8989697390</v>
      </c>
      <c r="D5078" s="2">
        <v>1</v>
      </c>
      <c r="E5078" t="str">
        <f>"4574674200886703"</f>
        <v>4574674200886703</v>
      </c>
      <c r="F5078" t="str">
        <f>"612"</f>
        <v>612</v>
      </c>
      <c r="G5078">
        <v>1</v>
      </c>
      <c r="H5078">
        <v>2023</v>
      </c>
      <c r="I5078" t="s">
        <v>5193</v>
      </c>
    </row>
    <row r="5079" spans="1:9" x14ac:dyDescent="0.3">
      <c r="A5079" t="s">
        <v>10129</v>
      </c>
      <c r="B5079" t="s">
        <v>72</v>
      </c>
      <c r="C5079">
        <v>8989697390</v>
      </c>
      <c r="D5079" s="2">
        <v>1</v>
      </c>
      <c r="E5079" t="str">
        <f>"4574674200886729"</f>
        <v>4574674200886729</v>
      </c>
      <c r="F5079" t="str">
        <f>"562"</f>
        <v>562</v>
      </c>
      <c r="G5079">
        <v>1</v>
      </c>
      <c r="H5079">
        <v>2023</v>
      </c>
      <c r="I5079" t="s">
        <v>5194</v>
      </c>
    </row>
    <row r="5080" spans="1:9" x14ac:dyDescent="0.3">
      <c r="A5080" t="s">
        <v>10129</v>
      </c>
      <c r="B5080" t="s">
        <v>72</v>
      </c>
      <c r="C5080">
        <v>8989697390</v>
      </c>
      <c r="D5080" s="2">
        <v>1</v>
      </c>
      <c r="E5080" t="str">
        <f>"4574674200886976"</f>
        <v>4574674200886976</v>
      </c>
      <c r="F5080" t="str">
        <f>"074"</f>
        <v>074</v>
      </c>
      <c r="G5080">
        <v>1</v>
      </c>
      <c r="H5080">
        <v>2023</v>
      </c>
      <c r="I5080" t="s">
        <v>5195</v>
      </c>
    </row>
    <row r="5081" spans="1:9" x14ac:dyDescent="0.3">
      <c r="A5081" t="s">
        <v>10129</v>
      </c>
      <c r="B5081" t="s">
        <v>72</v>
      </c>
      <c r="C5081">
        <v>8989697390</v>
      </c>
      <c r="D5081" s="2">
        <v>1</v>
      </c>
      <c r="E5081" t="str">
        <f>"4574674200887024"</f>
        <v>4574674200887024</v>
      </c>
      <c r="F5081" t="str">
        <f>"283"</f>
        <v>283</v>
      </c>
      <c r="G5081">
        <v>1</v>
      </c>
      <c r="H5081">
        <v>2023</v>
      </c>
      <c r="I5081" t="s">
        <v>5196</v>
      </c>
    </row>
    <row r="5082" spans="1:9" x14ac:dyDescent="0.3">
      <c r="A5082" t="s">
        <v>10129</v>
      </c>
      <c r="B5082" t="s">
        <v>72</v>
      </c>
      <c r="C5082">
        <v>8989697390</v>
      </c>
      <c r="D5082" s="2">
        <v>1</v>
      </c>
      <c r="E5082" t="str">
        <f>"4574674200887032"</f>
        <v>4574674200887032</v>
      </c>
      <c r="F5082" t="str">
        <f>"829"</f>
        <v>829</v>
      </c>
      <c r="G5082">
        <v>1</v>
      </c>
      <c r="H5082">
        <v>2023</v>
      </c>
      <c r="I5082" t="s">
        <v>5197</v>
      </c>
    </row>
    <row r="5083" spans="1:9" x14ac:dyDescent="0.3">
      <c r="A5083" t="s">
        <v>10129</v>
      </c>
      <c r="B5083" t="s">
        <v>72</v>
      </c>
      <c r="C5083">
        <v>8989697390</v>
      </c>
      <c r="D5083" s="2">
        <v>1</v>
      </c>
      <c r="E5083" t="str">
        <f>"4574674200887073"</f>
        <v>4574674200887073</v>
      </c>
      <c r="F5083" t="str">
        <f>"673"</f>
        <v>673</v>
      </c>
      <c r="G5083">
        <v>1</v>
      </c>
      <c r="H5083">
        <v>2023</v>
      </c>
      <c r="I5083" t="s">
        <v>5198</v>
      </c>
    </row>
    <row r="5084" spans="1:9" x14ac:dyDescent="0.3">
      <c r="A5084" t="s">
        <v>10129</v>
      </c>
      <c r="B5084" t="s">
        <v>72</v>
      </c>
      <c r="C5084">
        <v>8989697390</v>
      </c>
      <c r="D5084" s="2">
        <v>1</v>
      </c>
      <c r="E5084" t="str">
        <f>"4574674200887081"</f>
        <v>4574674200887081</v>
      </c>
      <c r="F5084" t="str">
        <f>"740"</f>
        <v>740</v>
      </c>
      <c r="G5084">
        <v>1</v>
      </c>
      <c r="H5084">
        <v>2023</v>
      </c>
      <c r="I5084" t="s">
        <v>5199</v>
      </c>
    </row>
    <row r="5085" spans="1:9" x14ac:dyDescent="0.3">
      <c r="A5085" t="s">
        <v>10129</v>
      </c>
      <c r="B5085" t="s">
        <v>72</v>
      </c>
      <c r="C5085">
        <v>8989697390</v>
      </c>
      <c r="D5085" s="2">
        <v>1</v>
      </c>
      <c r="E5085" t="str">
        <f>"4574674200887156"</f>
        <v>4574674200887156</v>
      </c>
      <c r="F5085" t="str">
        <f>"985"</f>
        <v>985</v>
      </c>
      <c r="G5085">
        <v>1</v>
      </c>
      <c r="H5085">
        <v>2023</v>
      </c>
      <c r="I5085" t="s">
        <v>5200</v>
      </c>
    </row>
    <row r="5086" spans="1:9" x14ac:dyDescent="0.3">
      <c r="A5086" t="s">
        <v>10129</v>
      </c>
      <c r="B5086" t="s">
        <v>72</v>
      </c>
      <c r="C5086">
        <v>8989697390</v>
      </c>
      <c r="D5086" s="2">
        <v>1</v>
      </c>
      <c r="E5086" t="str">
        <f>"4574674200887172"</f>
        <v>4574674200887172</v>
      </c>
      <c r="F5086" t="str">
        <f>"371"</f>
        <v>371</v>
      </c>
      <c r="G5086">
        <v>1</v>
      </c>
      <c r="H5086">
        <v>2023</v>
      </c>
      <c r="I5086" t="s">
        <v>5201</v>
      </c>
    </row>
    <row r="5087" spans="1:9" x14ac:dyDescent="0.3">
      <c r="A5087" t="s">
        <v>10129</v>
      </c>
      <c r="B5087" t="s">
        <v>72</v>
      </c>
      <c r="C5087">
        <v>8989697390</v>
      </c>
      <c r="D5087" s="2">
        <v>1</v>
      </c>
      <c r="E5087" t="str">
        <f>"4574674200887214"</f>
        <v>4574674200887214</v>
      </c>
      <c r="F5087" t="str">
        <f>"071"</f>
        <v>071</v>
      </c>
      <c r="G5087">
        <v>1</v>
      </c>
      <c r="H5087">
        <v>2023</v>
      </c>
      <c r="I5087" t="s">
        <v>5202</v>
      </c>
    </row>
    <row r="5088" spans="1:9" x14ac:dyDescent="0.3">
      <c r="A5088" t="s">
        <v>10129</v>
      </c>
      <c r="B5088" t="s">
        <v>72</v>
      </c>
      <c r="C5088">
        <v>8989697390</v>
      </c>
      <c r="D5088" s="2">
        <v>1</v>
      </c>
      <c r="E5088" t="str">
        <f>"4574674200887420"</f>
        <v>4574674200887420</v>
      </c>
      <c r="F5088" t="str">
        <f>"731"</f>
        <v>731</v>
      </c>
      <c r="G5088">
        <v>1</v>
      </c>
      <c r="H5088">
        <v>2023</v>
      </c>
      <c r="I5088" t="s">
        <v>5203</v>
      </c>
    </row>
    <row r="5089" spans="1:9" x14ac:dyDescent="0.3">
      <c r="A5089" t="s">
        <v>10170</v>
      </c>
      <c r="B5089" t="s">
        <v>73</v>
      </c>
      <c r="C5089">
        <v>8989697390</v>
      </c>
      <c r="D5089" s="2">
        <v>1</v>
      </c>
      <c r="E5089" t="str">
        <f>"4574674200887479"</f>
        <v>4574674200887479</v>
      </c>
      <c r="F5089" t="str">
        <f>"594"</f>
        <v>594</v>
      </c>
      <c r="G5089">
        <v>1</v>
      </c>
      <c r="H5089">
        <v>2023</v>
      </c>
      <c r="I5089" t="s">
        <v>5204</v>
      </c>
    </row>
    <row r="5090" spans="1:9" x14ac:dyDescent="0.3">
      <c r="A5090" t="s">
        <v>10170</v>
      </c>
      <c r="B5090" t="s">
        <v>73</v>
      </c>
      <c r="C5090">
        <v>8989697390</v>
      </c>
      <c r="D5090" s="2">
        <v>1</v>
      </c>
      <c r="E5090" t="str">
        <f>"4574674200887248"</f>
        <v>4574674200887248</v>
      </c>
      <c r="F5090" t="str">
        <f>"050"</f>
        <v>050</v>
      </c>
      <c r="G5090">
        <v>1</v>
      </c>
      <c r="H5090">
        <v>2023</v>
      </c>
      <c r="I5090" t="s">
        <v>5205</v>
      </c>
    </row>
    <row r="5091" spans="1:9" x14ac:dyDescent="0.3">
      <c r="A5091" t="s">
        <v>10170</v>
      </c>
      <c r="B5091" t="s">
        <v>73</v>
      </c>
      <c r="C5091">
        <v>8989697390</v>
      </c>
      <c r="D5091" s="2">
        <v>1</v>
      </c>
      <c r="E5091" t="str">
        <f>"4574674200887255"</f>
        <v>4574674200887255</v>
      </c>
      <c r="F5091" t="str">
        <f>"884"</f>
        <v>884</v>
      </c>
      <c r="G5091">
        <v>1</v>
      </c>
      <c r="H5091">
        <v>2023</v>
      </c>
      <c r="I5091" t="s">
        <v>5206</v>
      </c>
    </row>
    <row r="5092" spans="1:9" x14ac:dyDescent="0.3">
      <c r="A5092" t="s">
        <v>10170</v>
      </c>
      <c r="B5092" t="s">
        <v>73</v>
      </c>
      <c r="C5092">
        <v>8989697390</v>
      </c>
      <c r="D5092" s="2">
        <v>1</v>
      </c>
      <c r="E5092" t="str">
        <f>"4574674200887321"</f>
        <v>4574674200887321</v>
      </c>
      <c r="F5092" t="str">
        <f>"093"</f>
        <v>093</v>
      </c>
      <c r="G5092">
        <v>1</v>
      </c>
      <c r="H5092">
        <v>2023</v>
      </c>
      <c r="I5092" t="s">
        <v>5207</v>
      </c>
    </row>
    <row r="5093" spans="1:9" x14ac:dyDescent="0.3">
      <c r="A5093" t="s">
        <v>10170</v>
      </c>
      <c r="B5093" t="s">
        <v>73</v>
      </c>
      <c r="C5093">
        <v>8989697390</v>
      </c>
      <c r="D5093" s="2">
        <v>1</v>
      </c>
      <c r="E5093" t="str">
        <f>"4574674200887339"</f>
        <v>4574674200887339</v>
      </c>
      <c r="F5093" t="str">
        <f>"638"</f>
        <v>638</v>
      </c>
      <c r="G5093">
        <v>1</v>
      </c>
      <c r="H5093">
        <v>2023</v>
      </c>
      <c r="I5093" t="s">
        <v>5208</v>
      </c>
    </row>
    <row r="5094" spans="1:9" x14ac:dyDescent="0.3">
      <c r="A5094" t="s">
        <v>10170</v>
      </c>
      <c r="B5094" t="s">
        <v>73</v>
      </c>
      <c r="C5094">
        <v>8989697390</v>
      </c>
      <c r="D5094" s="2">
        <v>1</v>
      </c>
      <c r="E5094" t="str">
        <f>"4574674200887388"</f>
        <v>4574674200887388</v>
      </c>
      <c r="F5094" t="str">
        <f>"677"</f>
        <v>677</v>
      </c>
      <c r="G5094">
        <v>1</v>
      </c>
      <c r="H5094">
        <v>2023</v>
      </c>
      <c r="I5094" t="s">
        <v>5209</v>
      </c>
    </row>
    <row r="5095" spans="1:9" x14ac:dyDescent="0.3">
      <c r="A5095" t="s">
        <v>10170</v>
      </c>
      <c r="B5095" t="s">
        <v>73</v>
      </c>
      <c r="C5095">
        <v>8989697390</v>
      </c>
      <c r="D5095" s="2">
        <v>1</v>
      </c>
      <c r="E5095" t="str">
        <f>"4574674200887560"</f>
        <v>4574674200887560</v>
      </c>
      <c r="F5095" t="str">
        <f>"644"</f>
        <v>644</v>
      </c>
      <c r="G5095">
        <v>1</v>
      </c>
      <c r="H5095">
        <v>2023</v>
      </c>
      <c r="I5095" t="s">
        <v>5210</v>
      </c>
    </row>
    <row r="5096" spans="1:9" x14ac:dyDescent="0.3">
      <c r="A5096" t="s">
        <v>10170</v>
      </c>
      <c r="B5096" t="s">
        <v>73</v>
      </c>
      <c r="C5096">
        <v>8989697390</v>
      </c>
      <c r="D5096" s="2">
        <v>1</v>
      </c>
      <c r="E5096" t="str">
        <f>"4574674200887396"</f>
        <v>4574674200887396</v>
      </c>
      <c r="F5096" t="str">
        <f>"907"</f>
        <v>907</v>
      </c>
      <c r="G5096">
        <v>1</v>
      </c>
      <c r="H5096">
        <v>2023</v>
      </c>
      <c r="I5096" t="s">
        <v>5211</v>
      </c>
    </row>
    <row r="5097" spans="1:9" x14ac:dyDescent="0.3">
      <c r="A5097" t="s">
        <v>10170</v>
      </c>
      <c r="B5097" t="s">
        <v>73</v>
      </c>
      <c r="C5097">
        <v>8989697390</v>
      </c>
      <c r="D5097" s="2">
        <v>1</v>
      </c>
      <c r="E5097" t="str">
        <f>"4574674200887578"</f>
        <v>4574674200887578</v>
      </c>
      <c r="F5097" t="str">
        <f>"779"</f>
        <v>779</v>
      </c>
      <c r="G5097">
        <v>1</v>
      </c>
      <c r="H5097">
        <v>2023</v>
      </c>
      <c r="I5097" t="s">
        <v>5212</v>
      </c>
    </row>
    <row r="5098" spans="1:9" x14ac:dyDescent="0.3">
      <c r="A5098" t="s">
        <v>10170</v>
      </c>
      <c r="B5098" t="s">
        <v>73</v>
      </c>
      <c r="C5098">
        <v>8989697390</v>
      </c>
      <c r="D5098" s="2">
        <v>1</v>
      </c>
      <c r="E5098" t="str">
        <f>"4574674200887693"</f>
        <v>4574674200887693</v>
      </c>
      <c r="F5098" t="str">
        <f>"886"</f>
        <v>886</v>
      </c>
      <c r="G5098">
        <v>1</v>
      </c>
      <c r="H5098">
        <v>2023</v>
      </c>
      <c r="I5098" t="s">
        <v>5213</v>
      </c>
    </row>
    <row r="5099" spans="1:9" x14ac:dyDescent="0.3">
      <c r="A5099" t="s">
        <v>10171</v>
      </c>
      <c r="B5099" t="s">
        <v>74</v>
      </c>
      <c r="C5099">
        <v>8989697390</v>
      </c>
      <c r="D5099" s="2">
        <v>1</v>
      </c>
      <c r="E5099" t="str">
        <f>"4574674200887768"</f>
        <v>4574674200887768</v>
      </c>
      <c r="F5099" t="str">
        <f>"944"</f>
        <v>944</v>
      </c>
      <c r="G5099">
        <v>1</v>
      </c>
      <c r="H5099">
        <v>2023</v>
      </c>
      <c r="I5099" t="s">
        <v>5214</v>
      </c>
    </row>
    <row r="5100" spans="1:9" x14ac:dyDescent="0.3">
      <c r="A5100" t="s">
        <v>10171</v>
      </c>
      <c r="B5100" t="s">
        <v>74</v>
      </c>
      <c r="C5100">
        <v>8989697390</v>
      </c>
      <c r="D5100" s="2">
        <v>1</v>
      </c>
      <c r="E5100" t="str">
        <f>"4574674200888063"</f>
        <v>4574674200888063</v>
      </c>
      <c r="F5100" t="str">
        <f>"998"</f>
        <v>998</v>
      </c>
      <c r="G5100">
        <v>1</v>
      </c>
      <c r="H5100">
        <v>2023</v>
      </c>
      <c r="I5100" t="s">
        <v>5215</v>
      </c>
    </row>
    <row r="5101" spans="1:9" x14ac:dyDescent="0.3">
      <c r="A5101" t="s">
        <v>10171</v>
      </c>
      <c r="B5101" t="s">
        <v>74</v>
      </c>
      <c r="C5101">
        <v>8989697390</v>
      </c>
      <c r="D5101" s="2">
        <v>1</v>
      </c>
      <c r="E5101" t="str">
        <f>"4574674200889970"</f>
        <v>4574674200889970</v>
      </c>
      <c r="F5101" t="str">
        <f>"034"</f>
        <v>034</v>
      </c>
      <c r="G5101">
        <v>1</v>
      </c>
      <c r="H5101">
        <v>2023</v>
      </c>
      <c r="I5101" t="s">
        <v>5216</v>
      </c>
    </row>
    <row r="5102" spans="1:9" x14ac:dyDescent="0.3">
      <c r="A5102" t="s">
        <v>10171</v>
      </c>
      <c r="B5102" t="s">
        <v>74</v>
      </c>
      <c r="C5102">
        <v>8989697390</v>
      </c>
      <c r="D5102" s="2">
        <v>1</v>
      </c>
      <c r="E5102" t="str">
        <f>"4574674200890465"</f>
        <v>4574674200890465</v>
      </c>
      <c r="F5102" t="str">
        <f>"740"</f>
        <v>740</v>
      </c>
      <c r="G5102">
        <v>1</v>
      </c>
      <c r="H5102">
        <v>2023</v>
      </c>
      <c r="I5102" t="s">
        <v>5217</v>
      </c>
    </row>
    <row r="5103" spans="1:9" x14ac:dyDescent="0.3">
      <c r="A5103" t="s">
        <v>10171</v>
      </c>
      <c r="B5103" t="s">
        <v>74</v>
      </c>
      <c r="C5103">
        <v>8989697390</v>
      </c>
      <c r="D5103" s="2">
        <v>1</v>
      </c>
      <c r="E5103" t="str">
        <f>"4574674200890473"</f>
        <v>4574674200890473</v>
      </c>
      <c r="F5103" t="str">
        <f>"832"</f>
        <v>832</v>
      </c>
      <c r="G5103">
        <v>1</v>
      </c>
      <c r="H5103">
        <v>2023</v>
      </c>
      <c r="I5103" t="s">
        <v>5218</v>
      </c>
    </row>
    <row r="5104" spans="1:9" x14ac:dyDescent="0.3">
      <c r="A5104" t="s">
        <v>10171</v>
      </c>
      <c r="B5104" t="s">
        <v>74</v>
      </c>
      <c r="C5104">
        <v>8989697390</v>
      </c>
      <c r="D5104" s="2">
        <v>1</v>
      </c>
      <c r="E5104" t="str">
        <f>"4574674200890721"</f>
        <v>4574674200890721</v>
      </c>
      <c r="F5104" t="str">
        <f>"678"</f>
        <v>678</v>
      </c>
      <c r="G5104">
        <v>1</v>
      </c>
      <c r="H5104">
        <v>2023</v>
      </c>
      <c r="I5104" t="s">
        <v>5219</v>
      </c>
    </row>
    <row r="5105" spans="1:9" x14ac:dyDescent="0.3">
      <c r="A5105" t="s">
        <v>10171</v>
      </c>
      <c r="B5105" t="s">
        <v>74</v>
      </c>
      <c r="C5105">
        <v>8989697390</v>
      </c>
      <c r="D5105" s="2">
        <v>1</v>
      </c>
      <c r="E5105" t="str">
        <f>"4574674200890804"</f>
        <v>4574674200890804</v>
      </c>
      <c r="F5105" t="str">
        <f>"675"</f>
        <v>675</v>
      </c>
      <c r="G5105">
        <v>1</v>
      </c>
      <c r="H5105">
        <v>2023</v>
      </c>
      <c r="I5105" t="s">
        <v>5220</v>
      </c>
    </row>
    <row r="5106" spans="1:9" x14ac:dyDescent="0.3">
      <c r="A5106" t="s">
        <v>10171</v>
      </c>
      <c r="B5106" t="s">
        <v>74</v>
      </c>
      <c r="C5106">
        <v>8989697390</v>
      </c>
      <c r="D5106" s="2">
        <v>1</v>
      </c>
      <c r="E5106" t="str">
        <f>"4574674200890580"</f>
        <v>4574674200890580</v>
      </c>
      <c r="F5106" t="str">
        <f>"533"</f>
        <v>533</v>
      </c>
      <c r="G5106">
        <v>1</v>
      </c>
      <c r="H5106">
        <v>2023</v>
      </c>
      <c r="I5106" t="s">
        <v>5221</v>
      </c>
    </row>
    <row r="5107" spans="1:9" x14ac:dyDescent="0.3">
      <c r="A5107" t="s">
        <v>10171</v>
      </c>
      <c r="B5107" t="s">
        <v>74</v>
      </c>
      <c r="C5107">
        <v>8989697390</v>
      </c>
      <c r="D5107" s="2">
        <v>1</v>
      </c>
      <c r="E5107" t="str">
        <f>"4574674200890762"</f>
        <v>4574674200890762</v>
      </c>
      <c r="F5107" t="str">
        <f>"889"</f>
        <v>889</v>
      </c>
      <c r="G5107">
        <v>1</v>
      </c>
      <c r="H5107">
        <v>2023</v>
      </c>
      <c r="I5107" t="s">
        <v>5222</v>
      </c>
    </row>
    <row r="5108" spans="1:9" x14ac:dyDescent="0.3">
      <c r="A5108" t="s">
        <v>10171</v>
      </c>
      <c r="B5108" t="s">
        <v>74</v>
      </c>
      <c r="C5108">
        <v>8989697390</v>
      </c>
      <c r="D5108" s="2">
        <v>1</v>
      </c>
      <c r="E5108" t="str">
        <f>"4574674200890770"</f>
        <v>4574674200890770</v>
      </c>
      <c r="F5108" t="str">
        <f>"958"</f>
        <v>958</v>
      </c>
      <c r="G5108">
        <v>1</v>
      </c>
      <c r="H5108">
        <v>2023</v>
      </c>
      <c r="I5108" t="s">
        <v>5223</v>
      </c>
    </row>
    <row r="5109" spans="1:9" x14ac:dyDescent="0.3">
      <c r="A5109" t="s">
        <v>10136</v>
      </c>
      <c r="B5109" t="s">
        <v>81</v>
      </c>
      <c r="C5109">
        <v>9406582649</v>
      </c>
      <c r="D5109" s="2">
        <v>1</v>
      </c>
      <c r="E5109" t="str">
        <f>"4574674200891000"</f>
        <v>4574674200891000</v>
      </c>
      <c r="F5109" t="str">
        <f>"651"</f>
        <v>651</v>
      </c>
      <c r="G5109">
        <v>1</v>
      </c>
      <c r="H5109">
        <v>2023</v>
      </c>
      <c r="I5109" t="s">
        <v>5224</v>
      </c>
    </row>
    <row r="5110" spans="1:9" x14ac:dyDescent="0.3">
      <c r="A5110" t="s">
        <v>10136</v>
      </c>
      <c r="B5110" t="s">
        <v>81</v>
      </c>
      <c r="C5110">
        <v>9406582649</v>
      </c>
      <c r="D5110" s="2">
        <v>1</v>
      </c>
      <c r="E5110" t="str">
        <f>"4574674200891059"</f>
        <v>4574674200891059</v>
      </c>
      <c r="F5110" t="str">
        <f>"548"</f>
        <v>548</v>
      </c>
      <c r="G5110">
        <v>1</v>
      </c>
      <c r="H5110">
        <v>2023</v>
      </c>
      <c r="I5110" t="s">
        <v>5225</v>
      </c>
    </row>
    <row r="5111" spans="1:9" x14ac:dyDescent="0.3">
      <c r="A5111" t="s">
        <v>10136</v>
      </c>
      <c r="B5111" t="s">
        <v>81</v>
      </c>
      <c r="C5111">
        <v>9406582649</v>
      </c>
      <c r="D5111" s="2">
        <v>1</v>
      </c>
      <c r="E5111" t="str">
        <f>"4574674200891083"</f>
        <v>4574674200891083</v>
      </c>
      <c r="F5111" t="str">
        <f>"378"</f>
        <v>378</v>
      </c>
      <c r="G5111">
        <v>1</v>
      </c>
      <c r="H5111">
        <v>2023</v>
      </c>
      <c r="I5111" t="s">
        <v>5226</v>
      </c>
    </row>
    <row r="5112" spans="1:9" x14ac:dyDescent="0.3">
      <c r="A5112" t="s">
        <v>10136</v>
      </c>
      <c r="B5112" t="s">
        <v>81</v>
      </c>
      <c r="C5112">
        <v>9406582649</v>
      </c>
      <c r="D5112" s="2">
        <v>1</v>
      </c>
      <c r="E5112" t="str">
        <f>"4574674200891109"</f>
        <v>4574674200891109</v>
      </c>
      <c r="F5112" t="str">
        <f>"037"</f>
        <v>037</v>
      </c>
      <c r="G5112">
        <v>1</v>
      </c>
      <c r="H5112">
        <v>2023</v>
      </c>
      <c r="I5112" t="s">
        <v>5227</v>
      </c>
    </row>
    <row r="5113" spans="1:9" x14ac:dyDescent="0.3">
      <c r="A5113" t="s">
        <v>10136</v>
      </c>
      <c r="B5113" t="s">
        <v>81</v>
      </c>
      <c r="C5113">
        <v>9406582649</v>
      </c>
      <c r="D5113" s="2">
        <v>1</v>
      </c>
      <c r="E5113" t="str">
        <f>"4574674200891125"</f>
        <v>4574674200891125</v>
      </c>
      <c r="F5113" t="str">
        <f>"562"</f>
        <v>562</v>
      </c>
      <c r="G5113">
        <v>1</v>
      </c>
      <c r="H5113">
        <v>2023</v>
      </c>
      <c r="I5113" t="s">
        <v>5228</v>
      </c>
    </row>
    <row r="5114" spans="1:9" x14ac:dyDescent="0.3">
      <c r="A5114" t="s">
        <v>10136</v>
      </c>
      <c r="B5114" t="s">
        <v>81</v>
      </c>
      <c r="C5114">
        <v>9406582649</v>
      </c>
      <c r="D5114" s="2">
        <v>1</v>
      </c>
      <c r="E5114" t="str">
        <f>"4574674200890887"</f>
        <v>4574674200890887</v>
      </c>
      <c r="F5114" t="str">
        <f>"746"</f>
        <v>746</v>
      </c>
      <c r="G5114">
        <v>1</v>
      </c>
      <c r="H5114">
        <v>2023</v>
      </c>
      <c r="I5114" t="s">
        <v>5229</v>
      </c>
    </row>
    <row r="5115" spans="1:9" x14ac:dyDescent="0.3">
      <c r="A5115" t="s">
        <v>10136</v>
      </c>
      <c r="B5115" t="s">
        <v>81</v>
      </c>
      <c r="C5115">
        <v>9406582649</v>
      </c>
      <c r="D5115" s="2">
        <v>1</v>
      </c>
      <c r="E5115" t="str">
        <f>"4574674200890911"</f>
        <v>4574674200890911</v>
      </c>
      <c r="F5115" t="str">
        <f>"317"</f>
        <v>317</v>
      </c>
      <c r="G5115">
        <v>1</v>
      </c>
      <c r="H5115">
        <v>2023</v>
      </c>
      <c r="I5115" t="s">
        <v>5230</v>
      </c>
    </row>
    <row r="5116" spans="1:9" x14ac:dyDescent="0.3">
      <c r="A5116" t="s">
        <v>10136</v>
      </c>
      <c r="B5116" t="s">
        <v>81</v>
      </c>
      <c r="C5116">
        <v>9406582649</v>
      </c>
      <c r="D5116" s="2">
        <v>1</v>
      </c>
      <c r="E5116" t="str">
        <f>"4574674200891174"</f>
        <v>4574674200891174</v>
      </c>
      <c r="F5116" t="str">
        <f>"346"</f>
        <v>346</v>
      </c>
      <c r="G5116">
        <v>1</v>
      </c>
      <c r="H5116">
        <v>2023</v>
      </c>
      <c r="I5116" t="s">
        <v>5231</v>
      </c>
    </row>
    <row r="5117" spans="1:9" x14ac:dyDescent="0.3">
      <c r="A5117" t="s">
        <v>10136</v>
      </c>
      <c r="B5117" t="s">
        <v>81</v>
      </c>
      <c r="C5117">
        <v>9406582649</v>
      </c>
      <c r="D5117" s="2">
        <v>1</v>
      </c>
      <c r="E5117" t="str">
        <f>"4574674200891166"</f>
        <v>4574674200891166</v>
      </c>
      <c r="F5117" t="str">
        <f>"774"</f>
        <v>774</v>
      </c>
      <c r="G5117">
        <v>1</v>
      </c>
      <c r="H5117">
        <v>2023</v>
      </c>
      <c r="I5117" t="s">
        <v>5232</v>
      </c>
    </row>
    <row r="5118" spans="1:9" x14ac:dyDescent="0.3">
      <c r="A5118" t="s">
        <v>10136</v>
      </c>
      <c r="B5118" t="s">
        <v>81</v>
      </c>
      <c r="C5118">
        <v>9406582649</v>
      </c>
      <c r="D5118" s="2">
        <v>1</v>
      </c>
      <c r="E5118" t="str">
        <f>"4574674200891208"</f>
        <v>4574674200891208</v>
      </c>
      <c r="F5118" t="str">
        <f>"468"</f>
        <v>468</v>
      </c>
      <c r="G5118">
        <v>1</v>
      </c>
      <c r="H5118">
        <v>2023</v>
      </c>
      <c r="I5118" t="s">
        <v>5233</v>
      </c>
    </row>
    <row r="5119" spans="1:9" x14ac:dyDescent="0.3">
      <c r="A5119" t="s">
        <v>10137</v>
      </c>
      <c r="B5119" t="s">
        <v>82</v>
      </c>
      <c r="C5119">
        <v>9406582649</v>
      </c>
      <c r="D5119" s="2">
        <v>1</v>
      </c>
      <c r="E5119" t="str">
        <f>"4574674200891240"</f>
        <v>4574674200891240</v>
      </c>
      <c r="F5119" t="str">
        <f>"256"</f>
        <v>256</v>
      </c>
      <c r="G5119">
        <v>1</v>
      </c>
      <c r="H5119">
        <v>2023</v>
      </c>
      <c r="I5119" t="s">
        <v>5234</v>
      </c>
    </row>
    <row r="5120" spans="1:9" x14ac:dyDescent="0.3">
      <c r="A5120" t="s">
        <v>10137</v>
      </c>
      <c r="B5120" t="s">
        <v>82</v>
      </c>
      <c r="C5120">
        <v>9406582649</v>
      </c>
      <c r="D5120" s="2">
        <v>1</v>
      </c>
      <c r="E5120" t="str">
        <f>"4574674200891232"</f>
        <v>4574674200891232</v>
      </c>
      <c r="F5120" t="str">
        <f>"780"</f>
        <v>780</v>
      </c>
      <c r="G5120">
        <v>1</v>
      </c>
      <c r="H5120">
        <v>2023</v>
      </c>
      <c r="I5120" t="s">
        <v>5235</v>
      </c>
    </row>
    <row r="5121" spans="1:9" x14ac:dyDescent="0.3">
      <c r="A5121" t="s">
        <v>10137</v>
      </c>
      <c r="B5121" t="s">
        <v>82</v>
      </c>
      <c r="C5121">
        <v>9406582649</v>
      </c>
      <c r="D5121" s="2">
        <v>1</v>
      </c>
      <c r="E5121" t="str">
        <f>"4574674200891406"</f>
        <v>4574674200891406</v>
      </c>
      <c r="F5121" t="str">
        <f>"312"</f>
        <v>312</v>
      </c>
      <c r="G5121">
        <v>1</v>
      </c>
      <c r="H5121">
        <v>2023</v>
      </c>
      <c r="I5121" t="s">
        <v>5236</v>
      </c>
    </row>
    <row r="5122" spans="1:9" x14ac:dyDescent="0.3">
      <c r="A5122" t="s">
        <v>10137</v>
      </c>
      <c r="B5122" t="s">
        <v>82</v>
      </c>
      <c r="C5122">
        <v>9406582649</v>
      </c>
      <c r="D5122" s="2">
        <v>1</v>
      </c>
      <c r="E5122" t="str">
        <f>"4574674200891414"</f>
        <v>4574674200891414</v>
      </c>
      <c r="F5122" t="str">
        <f>"857"</f>
        <v>857</v>
      </c>
      <c r="G5122">
        <v>1</v>
      </c>
      <c r="H5122">
        <v>2023</v>
      </c>
      <c r="I5122" t="s">
        <v>5237</v>
      </c>
    </row>
    <row r="5123" spans="1:9" x14ac:dyDescent="0.3">
      <c r="A5123" t="s">
        <v>10137</v>
      </c>
      <c r="B5123" t="s">
        <v>82</v>
      </c>
      <c r="C5123">
        <v>9406582649</v>
      </c>
      <c r="D5123" s="2">
        <v>1</v>
      </c>
      <c r="E5123" t="str">
        <f>"4574674200891356"</f>
        <v>4574674200891356</v>
      </c>
      <c r="F5123" t="str">
        <f>"566"</f>
        <v>566</v>
      </c>
      <c r="G5123">
        <v>1</v>
      </c>
      <c r="H5123">
        <v>2023</v>
      </c>
      <c r="I5123" t="s">
        <v>5238</v>
      </c>
    </row>
    <row r="5124" spans="1:9" x14ac:dyDescent="0.3">
      <c r="A5124" t="s">
        <v>10137</v>
      </c>
      <c r="B5124" t="s">
        <v>82</v>
      </c>
      <c r="C5124">
        <v>9406582649</v>
      </c>
      <c r="D5124" s="2">
        <v>1</v>
      </c>
      <c r="E5124" t="str">
        <f>"4574674200891364"</f>
        <v>4574674200891364</v>
      </c>
      <c r="F5124" t="str">
        <f>"893"</f>
        <v>893</v>
      </c>
      <c r="G5124">
        <v>1</v>
      </c>
      <c r="H5124">
        <v>2023</v>
      </c>
      <c r="I5124" t="s">
        <v>5239</v>
      </c>
    </row>
    <row r="5125" spans="1:9" x14ac:dyDescent="0.3">
      <c r="A5125" t="s">
        <v>10137</v>
      </c>
      <c r="B5125" t="s">
        <v>82</v>
      </c>
      <c r="C5125">
        <v>9406582649</v>
      </c>
      <c r="D5125" s="2">
        <v>1</v>
      </c>
      <c r="E5125" t="str">
        <f>"4574674200891372"</f>
        <v>4574674200891372</v>
      </c>
      <c r="F5125" t="str">
        <f>"524"</f>
        <v>524</v>
      </c>
      <c r="G5125">
        <v>1</v>
      </c>
      <c r="H5125">
        <v>2023</v>
      </c>
      <c r="I5125" t="s">
        <v>5240</v>
      </c>
    </row>
    <row r="5126" spans="1:9" x14ac:dyDescent="0.3">
      <c r="A5126" t="s">
        <v>10137</v>
      </c>
      <c r="B5126" t="s">
        <v>82</v>
      </c>
      <c r="C5126">
        <v>9406582649</v>
      </c>
      <c r="D5126" s="2">
        <v>1</v>
      </c>
      <c r="E5126" t="str">
        <f>"4574674200891398"</f>
        <v>4574674200891398</v>
      </c>
      <c r="F5126" t="str">
        <f>"708"</f>
        <v>708</v>
      </c>
      <c r="G5126">
        <v>1</v>
      </c>
      <c r="H5126">
        <v>2023</v>
      </c>
      <c r="I5126" t="s">
        <v>5241</v>
      </c>
    </row>
    <row r="5127" spans="1:9" x14ac:dyDescent="0.3">
      <c r="A5127" t="s">
        <v>10137</v>
      </c>
      <c r="B5127" t="s">
        <v>82</v>
      </c>
      <c r="C5127">
        <v>9406582649</v>
      </c>
      <c r="D5127" s="2">
        <v>1</v>
      </c>
      <c r="E5127" t="str">
        <f>"4574674200891604"</f>
        <v>4574674200891604</v>
      </c>
      <c r="F5127" t="str">
        <f>"855"</f>
        <v>855</v>
      </c>
      <c r="G5127">
        <v>1</v>
      </c>
      <c r="H5127">
        <v>2023</v>
      </c>
      <c r="I5127" t="s">
        <v>5242</v>
      </c>
    </row>
    <row r="5128" spans="1:9" x14ac:dyDescent="0.3">
      <c r="A5128" t="s">
        <v>10137</v>
      </c>
      <c r="B5128" t="s">
        <v>82</v>
      </c>
      <c r="C5128">
        <v>9406582649</v>
      </c>
      <c r="D5128" s="2">
        <v>1</v>
      </c>
      <c r="E5128" t="str">
        <f>"4574674200891562"</f>
        <v>4574674200891562</v>
      </c>
      <c r="F5128" t="str">
        <f>"255"</f>
        <v>255</v>
      </c>
      <c r="G5128">
        <v>1</v>
      </c>
      <c r="H5128">
        <v>2023</v>
      </c>
      <c r="I5128" t="s">
        <v>5243</v>
      </c>
    </row>
    <row r="5129" spans="1:9" x14ac:dyDescent="0.3">
      <c r="A5129" t="s">
        <v>10138</v>
      </c>
      <c r="B5129" t="s">
        <v>83</v>
      </c>
      <c r="C5129">
        <v>9406582649</v>
      </c>
      <c r="D5129" s="2">
        <v>1</v>
      </c>
      <c r="E5129" t="str">
        <f>"4574674200891554"</f>
        <v>4574674200891554</v>
      </c>
      <c r="F5129" t="str">
        <f>"403"</f>
        <v>403</v>
      </c>
      <c r="G5129">
        <v>1</v>
      </c>
      <c r="H5129">
        <v>2023</v>
      </c>
      <c r="I5129" t="s">
        <v>5244</v>
      </c>
    </row>
    <row r="5130" spans="1:9" x14ac:dyDescent="0.3">
      <c r="A5130" t="s">
        <v>10138</v>
      </c>
      <c r="B5130" t="s">
        <v>83</v>
      </c>
      <c r="C5130">
        <v>9406582649</v>
      </c>
      <c r="D5130" s="2">
        <v>1</v>
      </c>
      <c r="E5130" t="str">
        <f>"4574674200891703"</f>
        <v>4574674200891703</v>
      </c>
      <c r="F5130" t="str">
        <f>"413"</f>
        <v>413</v>
      </c>
      <c r="G5130">
        <v>1</v>
      </c>
      <c r="H5130">
        <v>2023</v>
      </c>
      <c r="I5130" t="s">
        <v>5245</v>
      </c>
    </row>
    <row r="5131" spans="1:9" x14ac:dyDescent="0.3">
      <c r="A5131" t="s">
        <v>10138</v>
      </c>
      <c r="B5131" t="s">
        <v>83</v>
      </c>
      <c r="C5131">
        <v>9406582649</v>
      </c>
      <c r="D5131" s="2">
        <v>1</v>
      </c>
      <c r="E5131" t="str">
        <f>"4574674200891711"</f>
        <v>4574674200891711</v>
      </c>
      <c r="F5131" t="str">
        <f>"784"</f>
        <v>784</v>
      </c>
      <c r="G5131">
        <v>1</v>
      </c>
      <c r="H5131">
        <v>2023</v>
      </c>
      <c r="I5131" t="s">
        <v>5246</v>
      </c>
    </row>
    <row r="5132" spans="1:9" x14ac:dyDescent="0.3">
      <c r="A5132" t="s">
        <v>10138</v>
      </c>
      <c r="B5132" t="s">
        <v>83</v>
      </c>
      <c r="C5132">
        <v>9406582649</v>
      </c>
      <c r="D5132" s="2">
        <v>1</v>
      </c>
      <c r="E5132" t="str">
        <f>"4574674200891760"</f>
        <v>4574674200891760</v>
      </c>
      <c r="F5132" t="str">
        <f>"732"</f>
        <v>732</v>
      </c>
      <c r="G5132">
        <v>1</v>
      </c>
      <c r="H5132">
        <v>2023</v>
      </c>
      <c r="I5132" t="s">
        <v>5247</v>
      </c>
    </row>
    <row r="5133" spans="1:9" x14ac:dyDescent="0.3">
      <c r="A5133" t="s">
        <v>10138</v>
      </c>
      <c r="B5133" t="s">
        <v>83</v>
      </c>
      <c r="C5133">
        <v>9406582649</v>
      </c>
      <c r="D5133" s="2">
        <v>1</v>
      </c>
      <c r="E5133" t="str">
        <f>"4574674200891786"</f>
        <v>4574674200891786</v>
      </c>
      <c r="F5133" t="str">
        <f>"368"</f>
        <v>368</v>
      </c>
      <c r="G5133">
        <v>1</v>
      </c>
      <c r="H5133">
        <v>2023</v>
      </c>
      <c r="I5133" t="s">
        <v>5248</v>
      </c>
    </row>
    <row r="5134" spans="1:9" x14ac:dyDescent="0.3">
      <c r="A5134" t="s">
        <v>10138</v>
      </c>
      <c r="B5134" t="s">
        <v>83</v>
      </c>
      <c r="C5134">
        <v>9406582649</v>
      </c>
      <c r="D5134" s="2">
        <v>1</v>
      </c>
      <c r="E5134" t="str">
        <f>"4574674200891794"</f>
        <v>4574674200891794</v>
      </c>
      <c r="F5134" t="str">
        <f>"918"</f>
        <v>918</v>
      </c>
      <c r="G5134">
        <v>1</v>
      </c>
      <c r="H5134">
        <v>2023</v>
      </c>
      <c r="I5134" t="s">
        <v>5249</v>
      </c>
    </row>
    <row r="5135" spans="1:9" x14ac:dyDescent="0.3">
      <c r="A5135" t="s">
        <v>10138</v>
      </c>
      <c r="B5135" t="s">
        <v>83</v>
      </c>
      <c r="C5135">
        <v>9406582649</v>
      </c>
      <c r="D5135" s="2">
        <v>1</v>
      </c>
      <c r="E5135" t="str">
        <f>"4574674200892057"</f>
        <v>4574674200892057</v>
      </c>
      <c r="F5135" t="str">
        <f>"654"</f>
        <v>654</v>
      </c>
      <c r="G5135">
        <v>1</v>
      </c>
      <c r="H5135">
        <v>2023</v>
      </c>
      <c r="I5135" t="s">
        <v>5250</v>
      </c>
    </row>
    <row r="5136" spans="1:9" x14ac:dyDescent="0.3">
      <c r="A5136" t="s">
        <v>10138</v>
      </c>
      <c r="B5136" t="s">
        <v>83</v>
      </c>
      <c r="C5136">
        <v>9406582649</v>
      </c>
      <c r="D5136" s="2">
        <v>1</v>
      </c>
      <c r="E5136" t="str">
        <f>"4574674200892065"</f>
        <v>4574674200892065</v>
      </c>
      <c r="F5136" t="str">
        <f>"559"</f>
        <v>559</v>
      </c>
      <c r="G5136">
        <v>1</v>
      </c>
      <c r="H5136">
        <v>2023</v>
      </c>
      <c r="I5136" t="s">
        <v>5251</v>
      </c>
    </row>
    <row r="5137" spans="1:9" x14ac:dyDescent="0.3">
      <c r="A5137" t="s">
        <v>10138</v>
      </c>
      <c r="B5137" t="s">
        <v>83</v>
      </c>
      <c r="C5137">
        <v>9406582649</v>
      </c>
      <c r="D5137" s="2">
        <v>1</v>
      </c>
      <c r="E5137" t="str">
        <f>"4574674200891844"</f>
        <v>4574674200891844</v>
      </c>
      <c r="F5137" t="str">
        <f>"481"</f>
        <v>481</v>
      </c>
      <c r="G5137">
        <v>1</v>
      </c>
      <c r="H5137">
        <v>2023</v>
      </c>
      <c r="I5137" t="s">
        <v>5252</v>
      </c>
    </row>
    <row r="5138" spans="1:9" x14ac:dyDescent="0.3">
      <c r="A5138" t="s">
        <v>10138</v>
      </c>
      <c r="B5138" t="s">
        <v>83</v>
      </c>
      <c r="C5138">
        <v>9406582649</v>
      </c>
      <c r="D5138" s="2">
        <v>1</v>
      </c>
      <c r="E5138" t="str">
        <f>"4574674200891869"</f>
        <v>4574674200891869</v>
      </c>
      <c r="F5138" t="str">
        <f>"718"</f>
        <v>718</v>
      </c>
      <c r="G5138">
        <v>1</v>
      </c>
      <c r="H5138">
        <v>2023</v>
      </c>
      <c r="I5138" t="s">
        <v>5253</v>
      </c>
    </row>
    <row r="5139" spans="1:9" x14ac:dyDescent="0.3">
      <c r="A5139" t="s">
        <v>10139</v>
      </c>
      <c r="B5139" t="s">
        <v>84</v>
      </c>
      <c r="C5139">
        <v>9406582649</v>
      </c>
      <c r="D5139" s="2">
        <v>1</v>
      </c>
      <c r="E5139" t="str">
        <f>"4574674200891919"</f>
        <v>4574674200891919</v>
      </c>
      <c r="F5139" t="str">
        <f>"900"</f>
        <v>900</v>
      </c>
      <c r="G5139">
        <v>1</v>
      </c>
      <c r="H5139">
        <v>2023</v>
      </c>
      <c r="I5139" t="s">
        <v>5254</v>
      </c>
    </row>
    <row r="5140" spans="1:9" x14ac:dyDescent="0.3">
      <c r="A5140" t="s">
        <v>10139</v>
      </c>
      <c r="B5140" t="s">
        <v>84</v>
      </c>
      <c r="C5140">
        <v>9406582649</v>
      </c>
      <c r="D5140" s="2">
        <v>1</v>
      </c>
      <c r="E5140" t="str">
        <f>"4574674200891950"</f>
        <v>4574674200891950</v>
      </c>
      <c r="F5140" t="str">
        <f>"605"</f>
        <v>605</v>
      </c>
      <c r="G5140">
        <v>1</v>
      </c>
      <c r="H5140">
        <v>2023</v>
      </c>
      <c r="I5140" t="s">
        <v>5255</v>
      </c>
    </row>
    <row r="5141" spans="1:9" x14ac:dyDescent="0.3">
      <c r="A5141" t="s">
        <v>10139</v>
      </c>
      <c r="B5141" t="s">
        <v>84</v>
      </c>
      <c r="C5141">
        <v>9406582649</v>
      </c>
      <c r="D5141" s="2">
        <v>1</v>
      </c>
      <c r="E5141" t="str">
        <f>"4574674200891968"</f>
        <v>4574674200891968</v>
      </c>
      <c r="F5141" t="str">
        <f>"925"</f>
        <v>925</v>
      </c>
      <c r="G5141">
        <v>1</v>
      </c>
      <c r="H5141">
        <v>2023</v>
      </c>
      <c r="I5141" t="s">
        <v>5256</v>
      </c>
    </row>
    <row r="5142" spans="1:9" x14ac:dyDescent="0.3">
      <c r="A5142" t="s">
        <v>10139</v>
      </c>
      <c r="B5142" t="s">
        <v>84</v>
      </c>
      <c r="C5142">
        <v>9406582649</v>
      </c>
      <c r="D5142" s="2">
        <v>1</v>
      </c>
      <c r="E5142" t="str">
        <f>"4574674200892404"</f>
        <v>4574674200892404</v>
      </c>
      <c r="F5142" t="str">
        <f>"761"</f>
        <v>761</v>
      </c>
      <c r="G5142">
        <v>1</v>
      </c>
      <c r="H5142">
        <v>2023</v>
      </c>
      <c r="I5142" t="s">
        <v>5257</v>
      </c>
    </row>
    <row r="5143" spans="1:9" x14ac:dyDescent="0.3">
      <c r="A5143" t="s">
        <v>10139</v>
      </c>
      <c r="B5143" t="s">
        <v>84</v>
      </c>
      <c r="C5143">
        <v>9406582649</v>
      </c>
      <c r="D5143" s="2">
        <v>1</v>
      </c>
      <c r="E5143" t="str">
        <f>"4574674200892412"</f>
        <v>4574674200892412</v>
      </c>
      <c r="F5143" t="str">
        <f>"737"</f>
        <v>737</v>
      </c>
      <c r="G5143">
        <v>1</v>
      </c>
      <c r="H5143">
        <v>2023</v>
      </c>
      <c r="I5143" t="s">
        <v>5258</v>
      </c>
    </row>
    <row r="5144" spans="1:9" x14ac:dyDescent="0.3">
      <c r="A5144" t="s">
        <v>10139</v>
      </c>
      <c r="B5144" t="s">
        <v>84</v>
      </c>
      <c r="C5144">
        <v>9406582649</v>
      </c>
      <c r="D5144" s="2">
        <v>1</v>
      </c>
      <c r="E5144" t="str">
        <f>"4574674200892438"</f>
        <v>4574674200892438</v>
      </c>
      <c r="F5144" t="str">
        <f>"560"</f>
        <v>560</v>
      </c>
      <c r="G5144">
        <v>1</v>
      </c>
      <c r="H5144">
        <v>2023</v>
      </c>
      <c r="I5144" t="s">
        <v>5259</v>
      </c>
    </row>
    <row r="5145" spans="1:9" x14ac:dyDescent="0.3">
      <c r="A5145" t="s">
        <v>10139</v>
      </c>
      <c r="B5145" t="s">
        <v>84</v>
      </c>
      <c r="C5145">
        <v>9406582649</v>
      </c>
      <c r="D5145" s="2">
        <v>1</v>
      </c>
      <c r="E5145" t="str">
        <f>"4574674200892495"</f>
        <v>4574674200892495</v>
      </c>
      <c r="F5145" t="str">
        <f>"474"</f>
        <v>474</v>
      </c>
      <c r="G5145">
        <v>1</v>
      </c>
      <c r="H5145">
        <v>2023</v>
      </c>
      <c r="I5145" t="s">
        <v>5260</v>
      </c>
    </row>
    <row r="5146" spans="1:9" x14ac:dyDescent="0.3">
      <c r="A5146" t="s">
        <v>10139</v>
      </c>
      <c r="B5146" t="s">
        <v>84</v>
      </c>
      <c r="C5146">
        <v>9406582649</v>
      </c>
      <c r="D5146" s="2">
        <v>1</v>
      </c>
      <c r="E5146" t="str">
        <f>"4574674200892214"</f>
        <v>4574674200892214</v>
      </c>
      <c r="F5146" t="str">
        <f>"898"</f>
        <v>898</v>
      </c>
      <c r="G5146">
        <v>1</v>
      </c>
      <c r="H5146">
        <v>2023</v>
      </c>
      <c r="I5146" t="s">
        <v>5261</v>
      </c>
    </row>
    <row r="5147" spans="1:9" x14ac:dyDescent="0.3">
      <c r="A5147" t="s">
        <v>10139</v>
      </c>
      <c r="B5147" t="s">
        <v>84</v>
      </c>
      <c r="C5147">
        <v>9406582649</v>
      </c>
      <c r="D5147" s="2">
        <v>1</v>
      </c>
      <c r="E5147" t="str">
        <f>"4574674200892503"</f>
        <v>4574674200892503</v>
      </c>
      <c r="F5147" t="str">
        <f>"900"</f>
        <v>900</v>
      </c>
      <c r="G5147">
        <v>1</v>
      </c>
      <c r="H5147">
        <v>2023</v>
      </c>
      <c r="I5147" t="s">
        <v>5262</v>
      </c>
    </row>
    <row r="5148" spans="1:9" x14ac:dyDescent="0.3">
      <c r="A5148" t="s">
        <v>10139</v>
      </c>
      <c r="B5148" t="s">
        <v>84</v>
      </c>
      <c r="C5148">
        <v>9406582649</v>
      </c>
      <c r="D5148" s="2">
        <v>1</v>
      </c>
      <c r="E5148" t="str">
        <f>"4574674200892289"</f>
        <v>4574674200892289</v>
      </c>
      <c r="F5148" t="str">
        <f>"249"</f>
        <v>249</v>
      </c>
      <c r="G5148">
        <v>1</v>
      </c>
      <c r="H5148">
        <v>2023</v>
      </c>
      <c r="I5148" t="s">
        <v>5263</v>
      </c>
    </row>
    <row r="5149" spans="1:9" x14ac:dyDescent="0.3">
      <c r="A5149" t="s">
        <v>10138</v>
      </c>
      <c r="B5149" t="s">
        <v>83</v>
      </c>
      <c r="C5149">
        <v>9406582649</v>
      </c>
      <c r="D5149" s="2">
        <v>1</v>
      </c>
      <c r="E5149" t="str">
        <f>"4574674200892545"</f>
        <v>4574674200892545</v>
      </c>
      <c r="F5149" t="str">
        <f>"046"</f>
        <v>046</v>
      </c>
      <c r="G5149">
        <v>1</v>
      </c>
      <c r="H5149">
        <v>2023</v>
      </c>
      <c r="I5149" t="s">
        <v>5264</v>
      </c>
    </row>
    <row r="5150" spans="1:9" x14ac:dyDescent="0.3">
      <c r="A5150" t="s">
        <v>10138</v>
      </c>
      <c r="B5150" t="s">
        <v>83</v>
      </c>
      <c r="C5150">
        <v>9406582649</v>
      </c>
      <c r="D5150" s="2">
        <v>1</v>
      </c>
      <c r="E5150" t="str">
        <f>"4574674200892321"</f>
        <v>4574674200892321</v>
      </c>
      <c r="F5150" t="str">
        <f>"681"</f>
        <v>681</v>
      </c>
      <c r="G5150">
        <v>1</v>
      </c>
      <c r="H5150">
        <v>2023</v>
      </c>
      <c r="I5150" t="s">
        <v>5265</v>
      </c>
    </row>
    <row r="5151" spans="1:9" x14ac:dyDescent="0.3">
      <c r="A5151" t="s">
        <v>10138</v>
      </c>
      <c r="B5151" t="s">
        <v>83</v>
      </c>
      <c r="C5151">
        <v>9406582649</v>
      </c>
      <c r="D5151" s="2">
        <v>1</v>
      </c>
      <c r="E5151" t="str">
        <f>"4574674200892586"</f>
        <v>4574674200892586</v>
      </c>
      <c r="F5151" t="str">
        <f>"470"</f>
        <v>470</v>
      </c>
      <c r="G5151">
        <v>1</v>
      </c>
      <c r="H5151">
        <v>2023</v>
      </c>
      <c r="I5151" t="s">
        <v>5266</v>
      </c>
    </row>
    <row r="5152" spans="1:9" x14ac:dyDescent="0.3">
      <c r="A5152" t="s">
        <v>10138</v>
      </c>
      <c r="B5152" t="s">
        <v>83</v>
      </c>
      <c r="C5152">
        <v>9406582649</v>
      </c>
      <c r="D5152" s="2">
        <v>1</v>
      </c>
      <c r="E5152" t="str">
        <f>"4574674200892594"</f>
        <v>4574674200892594</v>
      </c>
      <c r="F5152" t="str">
        <f>"837"</f>
        <v>837</v>
      </c>
      <c r="G5152">
        <v>1</v>
      </c>
      <c r="H5152">
        <v>2023</v>
      </c>
      <c r="I5152" t="s">
        <v>5267</v>
      </c>
    </row>
    <row r="5153" spans="1:9" x14ac:dyDescent="0.3">
      <c r="A5153" t="s">
        <v>10138</v>
      </c>
      <c r="B5153" t="s">
        <v>83</v>
      </c>
      <c r="C5153">
        <v>9406582649</v>
      </c>
      <c r="D5153" s="2">
        <v>1</v>
      </c>
      <c r="E5153" t="str">
        <f>"4574674200892610"</f>
        <v>4574674200892610</v>
      </c>
      <c r="F5153" t="str">
        <f>"771"</f>
        <v>771</v>
      </c>
      <c r="G5153">
        <v>1</v>
      </c>
      <c r="H5153">
        <v>2023</v>
      </c>
      <c r="I5153" t="s">
        <v>5268</v>
      </c>
    </row>
    <row r="5154" spans="1:9" x14ac:dyDescent="0.3">
      <c r="A5154" t="s">
        <v>10138</v>
      </c>
      <c r="B5154" t="s">
        <v>83</v>
      </c>
      <c r="C5154">
        <v>9406582649</v>
      </c>
      <c r="D5154" s="2">
        <v>1</v>
      </c>
      <c r="E5154" t="str">
        <f>"4574674200892396"</f>
        <v>4574674200892396</v>
      </c>
      <c r="F5154" t="str">
        <f>"101"</f>
        <v>101</v>
      </c>
      <c r="G5154">
        <v>1</v>
      </c>
      <c r="H5154">
        <v>2023</v>
      </c>
      <c r="I5154" t="s">
        <v>5269</v>
      </c>
    </row>
    <row r="5155" spans="1:9" x14ac:dyDescent="0.3">
      <c r="A5155" t="s">
        <v>10138</v>
      </c>
      <c r="B5155" t="s">
        <v>83</v>
      </c>
      <c r="C5155">
        <v>9406582649</v>
      </c>
      <c r="D5155" s="2">
        <v>1</v>
      </c>
      <c r="E5155" t="str">
        <f>"4574674200892693"</f>
        <v>4574674200892693</v>
      </c>
      <c r="F5155" t="str">
        <f>"678"</f>
        <v>678</v>
      </c>
      <c r="G5155">
        <v>1</v>
      </c>
      <c r="H5155">
        <v>2023</v>
      </c>
      <c r="I5155" t="s">
        <v>5270</v>
      </c>
    </row>
    <row r="5156" spans="1:9" x14ac:dyDescent="0.3">
      <c r="A5156" t="s">
        <v>10138</v>
      </c>
      <c r="B5156" t="s">
        <v>83</v>
      </c>
      <c r="C5156">
        <v>9406582649</v>
      </c>
      <c r="D5156" s="2">
        <v>1</v>
      </c>
      <c r="E5156" t="str">
        <f>"4574674200892701"</f>
        <v>4574674200892701</v>
      </c>
      <c r="F5156" t="str">
        <f>"613"</f>
        <v>613</v>
      </c>
      <c r="G5156">
        <v>1</v>
      </c>
      <c r="H5156">
        <v>2023</v>
      </c>
      <c r="I5156" t="s">
        <v>5271</v>
      </c>
    </row>
    <row r="5157" spans="1:9" x14ac:dyDescent="0.3">
      <c r="A5157" t="s">
        <v>10138</v>
      </c>
      <c r="B5157" t="s">
        <v>83</v>
      </c>
      <c r="C5157">
        <v>9406582649</v>
      </c>
      <c r="D5157" s="2">
        <v>1</v>
      </c>
      <c r="E5157" t="str">
        <f>"4574674200892859"</f>
        <v>4574674200892859</v>
      </c>
      <c r="F5157" t="str">
        <f>"166"</f>
        <v>166</v>
      </c>
      <c r="G5157">
        <v>1</v>
      </c>
      <c r="H5157">
        <v>2023</v>
      </c>
      <c r="I5157" t="s">
        <v>5272</v>
      </c>
    </row>
    <row r="5158" spans="1:9" x14ac:dyDescent="0.3">
      <c r="A5158" t="s">
        <v>10138</v>
      </c>
      <c r="B5158" t="s">
        <v>83</v>
      </c>
      <c r="C5158">
        <v>9406582649</v>
      </c>
      <c r="D5158" s="2">
        <v>1</v>
      </c>
      <c r="E5158" t="str">
        <f>"4574674200892909"</f>
        <v>4574674200892909</v>
      </c>
      <c r="F5158" t="str">
        <f>"479"</f>
        <v>479</v>
      </c>
      <c r="G5158">
        <v>1</v>
      </c>
      <c r="H5158">
        <v>2023</v>
      </c>
      <c r="I5158" t="s">
        <v>5273</v>
      </c>
    </row>
    <row r="5159" spans="1:9" x14ac:dyDescent="0.3">
      <c r="A5159" t="s">
        <v>10140</v>
      </c>
      <c r="B5159" t="s">
        <v>85</v>
      </c>
      <c r="C5159">
        <v>9406582649</v>
      </c>
      <c r="D5159" s="2">
        <v>1</v>
      </c>
      <c r="E5159" t="str">
        <f>"4574674200892750"</f>
        <v>4574674200892750</v>
      </c>
      <c r="F5159" t="str">
        <f>"233"</f>
        <v>233</v>
      </c>
      <c r="G5159">
        <v>1</v>
      </c>
      <c r="H5159">
        <v>2023</v>
      </c>
      <c r="I5159" t="s">
        <v>5274</v>
      </c>
    </row>
    <row r="5160" spans="1:9" x14ac:dyDescent="0.3">
      <c r="A5160" t="s">
        <v>10140</v>
      </c>
      <c r="B5160" t="s">
        <v>85</v>
      </c>
      <c r="C5160">
        <v>9406582649</v>
      </c>
      <c r="D5160" s="2">
        <v>1</v>
      </c>
      <c r="E5160" t="str">
        <f>"4574674200893030"</f>
        <v>4574674200893030</v>
      </c>
      <c r="F5160" t="str">
        <f>"183"</f>
        <v>183</v>
      </c>
      <c r="G5160">
        <v>1</v>
      </c>
      <c r="H5160">
        <v>2023</v>
      </c>
      <c r="I5160" t="s">
        <v>5275</v>
      </c>
    </row>
    <row r="5161" spans="1:9" x14ac:dyDescent="0.3">
      <c r="A5161" t="s">
        <v>10140</v>
      </c>
      <c r="B5161" t="s">
        <v>85</v>
      </c>
      <c r="C5161">
        <v>9406582649</v>
      </c>
      <c r="D5161" s="2">
        <v>1</v>
      </c>
      <c r="E5161" t="str">
        <f>"4574674200893063"</f>
        <v>4574674200893063</v>
      </c>
      <c r="F5161" t="str">
        <f>"549"</f>
        <v>549</v>
      </c>
      <c r="G5161">
        <v>1</v>
      </c>
      <c r="H5161">
        <v>2023</v>
      </c>
      <c r="I5161" t="s">
        <v>5276</v>
      </c>
    </row>
    <row r="5162" spans="1:9" x14ac:dyDescent="0.3">
      <c r="A5162" t="s">
        <v>10140</v>
      </c>
      <c r="B5162" t="s">
        <v>85</v>
      </c>
      <c r="C5162">
        <v>9406582649</v>
      </c>
      <c r="D5162" s="2">
        <v>1</v>
      </c>
      <c r="E5162" t="str">
        <f>"4574674200893071"</f>
        <v>4574674200893071</v>
      </c>
      <c r="F5162" t="str">
        <f>"474"</f>
        <v>474</v>
      </c>
      <c r="G5162">
        <v>1</v>
      </c>
      <c r="H5162">
        <v>2023</v>
      </c>
      <c r="I5162" t="s">
        <v>5277</v>
      </c>
    </row>
    <row r="5163" spans="1:9" x14ac:dyDescent="0.3">
      <c r="A5163" t="s">
        <v>10140</v>
      </c>
      <c r="B5163" t="s">
        <v>85</v>
      </c>
      <c r="C5163">
        <v>9406582649</v>
      </c>
      <c r="D5163" s="2">
        <v>1</v>
      </c>
      <c r="E5163" t="str">
        <f>"4574674200893097"</f>
        <v>4574674200893097</v>
      </c>
      <c r="F5163" t="str">
        <f>"329"</f>
        <v>329</v>
      </c>
      <c r="G5163">
        <v>1</v>
      </c>
      <c r="H5163">
        <v>2023</v>
      </c>
      <c r="I5163" t="s">
        <v>5278</v>
      </c>
    </row>
    <row r="5164" spans="1:9" x14ac:dyDescent="0.3">
      <c r="A5164" t="s">
        <v>10140</v>
      </c>
      <c r="B5164" t="s">
        <v>85</v>
      </c>
      <c r="C5164">
        <v>9406582649</v>
      </c>
      <c r="D5164" s="2">
        <v>1</v>
      </c>
      <c r="E5164" t="str">
        <f>"4574674200893238"</f>
        <v>4574674200893238</v>
      </c>
      <c r="F5164" t="str">
        <f>"036"</f>
        <v>036</v>
      </c>
      <c r="G5164">
        <v>1</v>
      </c>
      <c r="H5164">
        <v>2023</v>
      </c>
      <c r="I5164" t="s">
        <v>5279</v>
      </c>
    </row>
    <row r="5165" spans="1:9" x14ac:dyDescent="0.3">
      <c r="A5165" t="s">
        <v>10140</v>
      </c>
      <c r="B5165" t="s">
        <v>85</v>
      </c>
      <c r="C5165">
        <v>9406582649</v>
      </c>
      <c r="D5165" s="2">
        <v>1</v>
      </c>
      <c r="E5165" t="str">
        <f>"4574674200893147"</f>
        <v>4574674200893147</v>
      </c>
      <c r="F5165" t="str">
        <f>"354"</f>
        <v>354</v>
      </c>
      <c r="G5165">
        <v>1</v>
      </c>
      <c r="H5165">
        <v>2023</v>
      </c>
      <c r="I5165" t="s">
        <v>5280</v>
      </c>
    </row>
    <row r="5166" spans="1:9" x14ac:dyDescent="0.3">
      <c r="A5166" t="s">
        <v>10140</v>
      </c>
      <c r="B5166" t="s">
        <v>85</v>
      </c>
      <c r="C5166">
        <v>9406582649</v>
      </c>
      <c r="D5166" s="2">
        <v>1</v>
      </c>
      <c r="E5166" t="str">
        <f>"4574674200893196"</f>
        <v>4574674200893196</v>
      </c>
      <c r="F5166" t="str">
        <f>"221"</f>
        <v>221</v>
      </c>
      <c r="G5166">
        <v>1</v>
      </c>
      <c r="H5166">
        <v>2023</v>
      </c>
      <c r="I5166" t="s">
        <v>5281</v>
      </c>
    </row>
    <row r="5167" spans="1:9" x14ac:dyDescent="0.3">
      <c r="A5167" t="s">
        <v>10140</v>
      </c>
      <c r="B5167" t="s">
        <v>85</v>
      </c>
      <c r="C5167">
        <v>9406582649</v>
      </c>
      <c r="D5167" s="2">
        <v>1</v>
      </c>
      <c r="E5167" t="str">
        <f>"4574674200893428"</f>
        <v>4574674200893428</v>
      </c>
      <c r="F5167" t="str">
        <f>"659"</f>
        <v>659</v>
      </c>
      <c r="G5167">
        <v>1</v>
      </c>
      <c r="H5167">
        <v>2023</v>
      </c>
      <c r="I5167" t="s">
        <v>5282</v>
      </c>
    </row>
    <row r="5168" spans="1:9" x14ac:dyDescent="0.3">
      <c r="A5168" t="s">
        <v>10140</v>
      </c>
      <c r="B5168" t="s">
        <v>85</v>
      </c>
      <c r="C5168">
        <v>9406582649</v>
      </c>
      <c r="D5168" s="2">
        <v>1</v>
      </c>
      <c r="E5168" t="str">
        <f>"4574674200893436"</f>
        <v>4574674200893436</v>
      </c>
      <c r="F5168" t="str">
        <f>"462"</f>
        <v>462</v>
      </c>
      <c r="G5168">
        <v>1</v>
      </c>
      <c r="H5168">
        <v>2023</v>
      </c>
      <c r="I5168" t="s">
        <v>5283</v>
      </c>
    </row>
    <row r="5169" spans="1:9" x14ac:dyDescent="0.3">
      <c r="A5169" t="s">
        <v>10141</v>
      </c>
      <c r="B5169" t="s">
        <v>86</v>
      </c>
      <c r="C5169">
        <v>9406582649</v>
      </c>
      <c r="D5169" s="2">
        <v>1</v>
      </c>
      <c r="E5169" t="str">
        <f>"4574674200893337"</f>
        <v>4574674200893337</v>
      </c>
      <c r="F5169" t="str">
        <f>"705"</f>
        <v>705</v>
      </c>
      <c r="G5169">
        <v>1</v>
      </c>
      <c r="H5169">
        <v>2023</v>
      </c>
      <c r="I5169" t="s">
        <v>5284</v>
      </c>
    </row>
    <row r="5170" spans="1:9" x14ac:dyDescent="0.3">
      <c r="A5170" t="s">
        <v>10141</v>
      </c>
      <c r="B5170" t="s">
        <v>86</v>
      </c>
      <c r="C5170">
        <v>9406582649</v>
      </c>
      <c r="D5170" s="2">
        <v>1</v>
      </c>
      <c r="E5170" t="str">
        <f>"4574674200893360"</f>
        <v>4574674200893360</v>
      </c>
      <c r="F5170" t="str">
        <f>"486"</f>
        <v>486</v>
      </c>
      <c r="G5170">
        <v>1</v>
      </c>
      <c r="H5170">
        <v>2023</v>
      </c>
      <c r="I5170" t="s">
        <v>5285</v>
      </c>
    </row>
    <row r="5171" spans="1:9" x14ac:dyDescent="0.3">
      <c r="A5171" t="s">
        <v>10141</v>
      </c>
      <c r="B5171" t="s">
        <v>86</v>
      </c>
      <c r="C5171">
        <v>9406582649</v>
      </c>
      <c r="D5171" s="2">
        <v>1</v>
      </c>
      <c r="E5171" t="str">
        <f>"4574674200893592"</f>
        <v>4574674200893592</v>
      </c>
      <c r="F5171" t="str">
        <f>"961"</f>
        <v>961</v>
      </c>
      <c r="G5171">
        <v>1</v>
      </c>
      <c r="H5171">
        <v>2023</v>
      </c>
      <c r="I5171" t="s">
        <v>5286</v>
      </c>
    </row>
    <row r="5172" spans="1:9" x14ac:dyDescent="0.3">
      <c r="A5172" t="s">
        <v>10141</v>
      </c>
      <c r="B5172" t="s">
        <v>86</v>
      </c>
      <c r="C5172">
        <v>9406582649</v>
      </c>
      <c r="D5172" s="2">
        <v>1</v>
      </c>
      <c r="E5172" t="str">
        <f>"4574674200893550"</f>
        <v>4574674200893550</v>
      </c>
      <c r="F5172" t="str">
        <f>"296"</f>
        <v>296</v>
      </c>
      <c r="G5172">
        <v>1</v>
      </c>
      <c r="H5172">
        <v>2023</v>
      </c>
      <c r="I5172" t="s">
        <v>5287</v>
      </c>
    </row>
    <row r="5173" spans="1:9" x14ac:dyDescent="0.3">
      <c r="A5173" t="s">
        <v>10141</v>
      </c>
      <c r="B5173" t="s">
        <v>86</v>
      </c>
      <c r="C5173">
        <v>9406582649</v>
      </c>
      <c r="D5173" s="2">
        <v>1</v>
      </c>
      <c r="E5173" t="str">
        <f>"4574674200893873"</f>
        <v>4574674200893873</v>
      </c>
      <c r="F5173" t="str">
        <f>"783"</f>
        <v>783</v>
      </c>
      <c r="G5173">
        <v>1</v>
      </c>
      <c r="H5173">
        <v>2023</v>
      </c>
      <c r="I5173" t="s">
        <v>5288</v>
      </c>
    </row>
    <row r="5174" spans="1:9" x14ac:dyDescent="0.3">
      <c r="A5174" t="s">
        <v>10141</v>
      </c>
      <c r="B5174" t="s">
        <v>86</v>
      </c>
      <c r="C5174">
        <v>9406582649</v>
      </c>
      <c r="D5174" s="2">
        <v>1</v>
      </c>
      <c r="E5174" t="str">
        <f>"4574674200893865"</f>
        <v>4574674200893865</v>
      </c>
      <c r="F5174" t="str">
        <f>"035"</f>
        <v>035</v>
      </c>
      <c r="G5174">
        <v>1</v>
      </c>
      <c r="H5174">
        <v>2023</v>
      </c>
      <c r="I5174" t="s">
        <v>5289</v>
      </c>
    </row>
    <row r="5175" spans="1:9" x14ac:dyDescent="0.3">
      <c r="A5175" t="s">
        <v>10141</v>
      </c>
      <c r="B5175" t="s">
        <v>86</v>
      </c>
      <c r="C5175">
        <v>9406582649</v>
      </c>
      <c r="D5175" s="2">
        <v>1</v>
      </c>
      <c r="E5175" t="str">
        <f>"4574674200893667"</f>
        <v>4574674200893667</v>
      </c>
      <c r="F5175" t="str">
        <f>"630"</f>
        <v>630</v>
      </c>
      <c r="G5175">
        <v>1</v>
      </c>
      <c r="H5175">
        <v>2023</v>
      </c>
      <c r="I5175" t="s">
        <v>5290</v>
      </c>
    </row>
    <row r="5176" spans="1:9" x14ac:dyDescent="0.3">
      <c r="A5176" t="s">
        <v>10141</v>
      </c>
      <c r="B5176" t="s">
        <v>86</v>
      </c>
      <c r="C5176">
        <v>9406582649</v>
      </c>
      <c r="D5176" s="2">
        <v>1</v>
      </c>
      <c r="E5176" t="str">
        <f>"4574674200893683"</f>
        <v>4574674200893683</v>
      </c>
      <c r="F5176" t="str">
        <f>"248"</f>
        <v>248</v>
      </c>
      <c r="G5176">
        <v>1</v>
      </c>
      <c r="H5176">
        <v>2023</v>
      </c>
      <c r="I5176" t="s">
        <v>5291</v>
      </c>
    </row>
    <row r="5177" spans="1:9" x14ac:dyDescent="0.3">
      <c r="A5177" t="s">
        <v>10141</v>
      </c>
      <c r="B5177" t="s">
        <v>86</v>
      </c>
      <c r="C5177">
        <v>9406582649</v>
      </c>
      <c r="D5177" s="2">
        <v>1</v>
      </c>
      <c r="E5177" t="str">
        <f>"4574674200893709"</f>
        <v>4574674200893709</v>
      </c>
      <c r="F5177" t="str">
        <f>"444"</f>
        <v>444</v>
      </c>
      <c r="G5177">
        <v>1</v>
      </c>
      <c r="H5177">
        <v>2023</v>
      </c>
      <c r="I5177" t="s">
        <v>5292</v>
      </c>
    </row>
    <row r="5178" spans="1:9" x14ac:dyDescent="0.3">
      <c r="A5178" t="s">
        <v>10141</v>
      </c>
      <c r="B5178" t="s">
        <v>86</v>
      </c>
      <c r="C5178">
        <v>9406582649</v>
      </c>
      <c r="D5178" s="2">
        <v>1</v>
      </c>
      <c r="E5178" t="str">
        <f>"4574674200893717"</f>
        <v>4574674200893717</v>
      </c>
      <c r="F5178" t="str">
        <f>"786"</f>
        <v>786</v>
      </c>
      <c r="G5178">
        <v>1</v>
      </c>
      <c r="H5178">
        <v>2023</v>
      </c>
      <c r="I5178" t="s">
        <v>5293</v>
      </c>
    </row>
    <row r="5179" spans="1:9" x14ac:dyDescent="0.3">
      <c r="A5179" t="s">
        <v>10142</v>
      </c>
      <c r="B5179" t="s">
        <v>87</v>
      </c>
      <c r="C5179">
        <v>9406582649</v>
      </c>
      <c r="D5179" s="2">
        <v>1</v>
      </c>
      <c r="E5179" t="str">
        <f>"4574674200893774"</f>
        <v>4574674200893774</v>
      </c>
      <c r="F5179" t="str">
        <f>"868"</f>
        <v>868</v>
      </c>
      <c r="G5179">
        <v>1</v>
      </c>
      <c r="H5179">
        <v>2023</v>
      </c>
      <c r="I5179" t="s">
        <v>5294</v>
      </c>
    </row>
    <row r="5180" spans="1:9" x14ac:dyDescent="0.3">
      <c r="A5180" t="s">
        <v>10142</v>
      </c>
      <c r="B5180" t="s">
        <v>87</v>
      </c>
      <c r="C5180">
        <v>9406582649</v>
      </c>
      <c r="D5180" s="2">
        <v>1</v>
      </c>
      <c r="E5180" t="str">
        <f>"4574674200893964"</f>
        <v>4574674200893964</v>
      </c>
      <c r="F5180" t="str">
        <f>"663"</f>
        <v>663</v>
      </c>
      <c r="G5180">
        <v>1</v>
      </c>
      <c r="H5180">
        <v>2023</v>
      </c>
      <c r="I5180" t="s">
        <v>5295</v>
      </c>
    </row>
    <row r="5181" spans="1:9" x14ac:dyDescent="0.3">
      <c r="A5181" t="s">
        <v>10142</v>
      </c>
      <c r="B5181" t="s">
        <v>87</v>
      </c>
      <c r="C5181">
        <v>9406582649</v>
      </c>
      <c r="D5181" s="2">
        <v>1</v>
      </c>
      <c r="E5181" t="str">
        <f>"4574674200893980"</f>
        <v>4574674200893980</v>
      </c>
      <c r="F5181" t="str">
        <f>"161"</f>
        <v>161</v>
      </c>
      <c r="G5181">
        <v>1</v>
      </c>
      <c r="H5181">
        <v>2023</v>
      </c>
      <c r="I5181" t="s">
        <v>5296</v>
      </c>
    </row>
    <row r="5182" spans="1:9" x14ac:dyDescent="0.3">
      <c r="A5182" t="s">
        <v>10142</v>
      </c>
      <c r="B5182" t="s">
        <v>87</v>
      </c>
      <c r="C5182">
        <v>9406582649</v>
      </c>
      <c r="D5182" s="2">
        <v>1</v>
      </c>
      <c r="E5182" t="str">
        <f>"4574674200894210"</f>
        <v>4574674200894210</v>
      </c>
      <c r="F5182" t="str">
        <f>"273"</f>
        <v>273</v>
      </c>
      <c r="G5182">
        <v>1</v>
      </c>
      <c r="H5182">
        <v>2023</v>
      </c>
      <c r="I5182" t="s">
        <v>5297</v>
      </c>
    </row>
    <row r="5183" spans="1:9" x14ac:dyDescent="0.3">
      <c r="A5183" t="s">
        <v>10142</v>
      </c>
      <c r="B5183" t="s">
        <v>87</v>
      </c>
      <c r="C5183">
        <v>9406582649</v>
      </c>
      <c r="D5183" s="2">
        <v>1</v>
      </c>
      <c r="E5183" t="str">
        <f>"4574674200894285"</f>
        <v>4574674200894285</v>
      </c>
      <c r="F5183" t="str">
        <f>"278"</f>
        <v>278</v>
      </c>
      <c r="G5183">
        <v>1</v>
      </c>
      <c r="H5183">
        <v>2023</v>
      </c>
      <c r="I5183" t="s">
        <v>5298</v>
      </c>
    </row>
    <row r="5184" spans="1:9" x14ac:dyDescent="0.3">
      <c r="A5184" t="s">
        <v>10142</v>
      </c>
      <c r="B5184" t="s">
        <v>87</v>
      </c>
      <c r="C5184">
        <v>9406582649</v>
      </c>
      <c r="D5184" s="2">
        <v>1</v>
      </c>
      <c r="E5184" t="str">
        <f>"4574674200894251"</f>
        <v>4574674200894251</v>
      </c>
      <c r="F5184" t="str">
        <f>"745"</f>
        <v>745</v>
      </c>
      <c r="G5184">
        <v>1</v>
      </c>
      <c r="H5184">
        <v>2023</v>
      </c>
      <c r="I5184" t="s">
        <v>5299</v>
      </c>
    </row>
    <row r="5185" spans="1:9" x14ac:dyDescent="0.3">
      <c r="A5185" t="s">
        <v>10142</v>
      </c>
      <c r="B5185" t="s">
        <v>87</v>
      </c>
      <c r="C5185">
        <v>9406582649</v>
      </c>
      <c r="D5185" s="2">
        <v>1</v>
      </c>
      <c r="E5185" t="str">
        <f>"4574674200894244"</f>
        <v>4574674200894244</v>
      </c>
      <c r="F5185" t="str">
        <f>"787"</f>
        <v>787</v>
      </c>
      <c r="G5185">
        <v>1</v>
      </c>
      <c r="H5185">
        <v>2023</v>
      </c>
      <c r="I5185" t="s">
        <v>5300</v>
      </c>
    </row>
    <row r="5186" spans="1:9" x14ac:dyDescent="0.3">
      <c r="A5186" t="s">
        <v>10142</v>
      </c>
      <c r="B5186" t="s">
        <v>87</v>
      </c>
      <c r="C5186">
        <v>9406582649</v>
      </c>
      <c r="D5186" s="2">
        <v>1</v>
      </c>
      <c r="E5186" t="str">
        <f>"4574674200894327"</f>
        <v>4574674200894327</v>
      </c>
      <c r="F5186" t="str">
        <f>"595"</f>
        <v>595</v>
      </c>
      <c r="G5186">
        <v>1</v>
      </c>
      <c r="H5186">
        <v>2023</v>
      </c>
      <c r="I5186" t="s">
        <v>5301</v>
      </c>
    </row>
    <row r="5187" spans="1:9" x14ac:dyDescent="0.3">
      <c r="A5187" t="s">
        <v>10142</v>
      </c>
      <c r="B5187" t="s">
        <v>87</v>
      </c>
      <c r="C5187">
        <v>9406582649</v>
      </c>
      <c r="D5187" s="2">
        <v>1</v>
      </c>
      <c r="E5187" t="str">
        <f>"4574674200894020"</f>
        <v>4574674200894020</v>
      </c>
      <c r="F5187" t="str">
        <f>"296"</f>
        <v>296</v>
      </c>
      <c r="G5187">
        <v>1</v>
      </c>
      <c r="H5187">
        <v>2023</v>
      </c>
      <c r="I5187" t="s">
        <v>5302</v>
      </c>
    </row>
    <row r="5188" spans="1:9" x14ac:dyDescent="0.3">
      <c r="A5188" t="s">
        <v>10142</v>
      </c>
      <c r="B5188" t="s">
        <v>87</v>
      </c>
      <c r="C5188">
        <v>9406582649</v>
      </c>
      <c r="D5188" s="2">
        <v>1</v>
      </c>
      <c r="E5188" t="str">
        <f>"4574674200894111"</f>
        <v>4574674200894111</v>
      </c>
      <c r="F5188" t="str">
        <f>"169"</f>
        <v>169</v>
      </c>
      <c r="G5188">
        <v>1</v>
      </c>
      <c r="H5188">
        <v>2023</v>
      </c>
      <c r="I5188" t="s">
        <v>5303</v>
      </c>
    </row>
    <row r="5189" spans="1:9" x14ac:dyDescent="0.3">
      <c r="A5189" t="s">
        <v>10143</v>
      </c>
      <c r="B5189" t="s">
        <v>88</v>
      </c>
      <c r="C5189">
        <v>9406582649</v>
      </c>
      <c r="D5189" s="2">
        <v>1</v>
      </c>
      <c r="E5189" t="str">
        <f>"4574674200894376"</f>
        <v>4574674200894376</v>
      </c>
      <c r="F5189" t="str">
        <f>"412"</f>
        <v>412</v>
      </c>
      <c r="G5189">
        <v>1</v>
      </c>
      <c r="H5189">
        <v>2023</v>
      </c>
      <c r="I5189" t="s">
        <v>5304</v>
      </c>
    </row>
    <row r="5190" spans="1:9" x14ac:dyDescent="0.3">
      <c r="A5190" t="s">
        <v>10143</v>
      </c>
      <c r="B5190" t="s">
        <v>88</v>
      </c>
      <c r="C5190">
        <v>9406582649</v>
      </c>
      <c r="D5190" s="2">
        <v>1</v>
      </c>
      <c r="E5190" t="str">
        <f>"4574674200894400"</f>
        <v>4574674200894400</v>
      </c>
      <c r="F5190" t="str">
        <f>"001"</f>
        <v>001</v>
      </c>
      <c r="G5190">
        <v>1</v>
      </c>
      <c r="H5190">
        <v>2023</v>
      </c>
      <c r="I5190" t="s">
        <v>5305</v>
      </c>
    </row>
    <row r="5191" spans="1:9" x14ac:dyDescent="0.3">
      <c r="A5191" t="s">
        <v>10143</v>
      </c>
      <c r="B5191" t="s">
        <v>88</v>
      </c>
      <c r="C5191">
        <v>9406582649</v>
      </c>
      <c r="D5191" s="2">
        <v>1</v>
      </c>
      <c r="E5191" t="str">
        <f>"4574674200894426"</f>
        <v>4574674200894426</v>
      </c>
      <c r="F5191" t="str">
        <f>"458"</f>
        <v>458</v>
      </c>
      <c r="G5191">
        <v>1</v>
      </c>
      <c r="H5191">
        <v>2023</v>
      </c>
      <c r="I5191" t="s">
        <v>5306</v>
      </c>
    </row>
    <row r="5192" spans="1:9" x14ac:dyDescent="0.3">
      <c r="A5192" t="s">
        <v>10143</v>
      </c>
      <c r="B5192" t="s">
        <v>88</v>
      </c>
      <c r="C5192">
        <v>9406582649</v>
      </c>
      <c r="D5192" s="2">
        <v>1</v>
      </c>
      <c r="E5192" t="str">
        <f>"4574674200894178"</f>
        <v>4574674200894178</v>
      </c>
      <c r="F5192" t="str">
        <f>"077"</f>
        <v>077</v>
      </c>
      <c r="G5192">
        <v>1</v>
      </c>
      <c r="H5192">
        <v>2023</v>
      </c>
      <c r="I5192" t="s">
        <v>5307</v>
      </c>
    </row>
    <row r="5193" spans="1:9" x14ac:dyDescent="0.3">
      <c r="A5193" t="s">
        <v>10143</v>
      </c>
      <c r="B5193" t="s">
        <v>88</v>
      </c>
      <c r="C5193">
        <v>9406582649</v>
      </c>
      <c r="D5193" s="2">
        <v>1</v>
      </c>
      <c r="E5193" t="str">
        <f>"4574674200894459"</f>
        <v>4574674200894459</v>
      </c>
      <c r="F5193" t="str">
        <f>"572"</f>
        <v>572</v>
      </c>
      <c r="G5193">
        <v>1</v>
      </c>
      <c r="H5193">
        <v>2023</v>
      </c>
      <c r="I5193" t="s">
        <v>5308</v>
      </c>
    </row>
    <row r="5194" spans="1:9" x14ac:dyDescent="0.3">
      <c r="A5194" t="s">
        <v>10143</v>
      </c>
      <c r="B5194" t="s">
        <v>88</v>
      </c>
      <c r="C5194">
        <v>9406582649</v>
      </c>
      <c r="D5194" s="2">
        <v>1</v>
      </c>
      <c r="E5194" t="str">
        <f>"4574674200894467"</f>
        <v>4574674200894467</v>
      </c>
      <c r="F5194" t="str">
        <f>"057"</f>
        <v>057</v>
      </c>
      <c r="G5194">
        <v>1</v>
      </c>
      <c r="H5194">
        <v>2023</v>
      </c>
      <c r="I5194" t="s">
        <v>5309</v>
      </c>
    </row>
    <row r="5195" spans="1:9" x14ac:dyDescent="0.3">
      <c r="A5195" t="s">
        <v>10143</v>
      </c>
      <c r="B5195" t="s">
        <v>88</v>
      </c>
      <c r="C5195">
        <v>9406582649</v>
      </c>
      <c r="D5195" s="2">
        <v>1</v>
      </c>
      <c r="E5195" t="str">
        <f>"4574674200894558"</f>
        <v>4574674200894558</v>
      </c>
      <c r="F5195" t="str">
        <f>"807"</f>
        <v>807</v>
      </c>
      <c r="G5195">
        <v>1</v>
      </c>
      <c r="H5195">
        <v>2023</v>
      </c>
      <c r="I5195" t="s">
        <v>5310</v>
      </c>
    </row>
    <row r="5196" spans="1:9" x14ac:dyDescent="0.3">
      <c r="A5196" t="s">
        <v>10143</v>
      </c>
      <c r="B5196" t="s">
        <v>88</v>
      </c>
      <c r="C5196">
        <v>9406582649</v>
      </c>
      <c r="D5196" s="2">
        <v>1</v>
      </c>
      <c r="E5196" t="str">
        <f>"4574674200894574"</f>
        <v>4574674200894574</v>
      </c>
      <c r="F5196" t="str">
        <f>"734"</f>
        <v>734</v>
      </c>
      <c r="G5196">
        <v>1</v>
      </c>
      <c r="H5196">
        <v>2023</v>
      </c>
      <c r="I5196" t="s">
        <v>5311</v>
      </c>
    </row>
    <row r="5197" spans="1:9" x14ac:dyDescent="0.3">
      <c r="A5197" t="s">
        <v>10143</v>
      </c>
      <c r="B5197" t="s">
        <v>88</v>
      </c>
      <c r="C5197">
        <v>9406582649</v>
      </c>
      <c r="D5197" s="2">
        <v>1</v>
      </c>
      <c r="E5197" t="str">
        <f>"4574674200894566"</f>
        <v>4574674200894566</v>
      </c>
      <c r="F5197" t="str">
        <f>"725"</f>
        <v>725</v>
      </c>
      <c r="G5197">
        <v>1</v>
      </c>
      <c r="H5197">
        <v>2023</v>
      </c>
      <c r="I5197" t="s">
        <v>5312</v>
      </c>
    </row>
    <row r="5198" spans="1:9" x14ac:dyDescent="0.3">
      <c r="A5198" t="s">
        <v>10143</v>
      </c>
      <c r="B5198" t="s">
        <v>88</v>
      </c>
      <c r="C5198">
        <v>9406582649</v>
      </c>
      <c r="D5198" s="2">
        <v>1</v>
      </c>
      <c r="E5198" t="str">
        <f>"4574674200894194"</f>
        <v>4574674200894194</v>
      </c>
      <c r="F5198" t="str">
        <f>"979"</f>
        <v>979</v>
      </c>
      <c r="G5198">
        <v>1</v>
      </c>
      <c r="H5198">
        <v>2023</v>
      </c>
      <c r="I5198" t="s">
        <v>5313</v>
      </c>
    </row>
    <row r="5199" spans="1:9" x14ac:dyDescent="0.3">
      <c r="A5199" t="s">
        <v>10144</v>
      </c>
      <c r="B5199" t="s">
        <v>89</v>
      </c>
      <c r="C5199">
        <v>9406582649</v>
      </c>
      <c r="D5199" s="2">
        <v>1</v>
      </c>
      <c r="E5199" t="str">
        <f>"4574674200894632"</f>
        <v>4574674200894632</v>
      </c>
      <c r="F5199" t="str">
        <f>"056"</f>
        <v>056</v>
      </c>
      <c r="G5199">
        <v>1</v>
      </c>
      <c r="H5199">
        <v>2023</v>
      </c>
      <c r="I5199" t="s">
        <v>5314</v>
      </c>
    </row>
    <row r="5200" spans="1:9" x14ac:dyDescent="0.3">
      <c r="A5200" t="s">
        <v>10144</v>
      </c>
      <c r="B5200" t="s">
        <v>89</v>
      </c>
      <c r="C5200">
        <v>9406582649</v>
      </c>
      <c r="D5200" s="2">
        <v>1</v>
      </c>
      <c r="E5200" t="str">
        <f>"4574674200894814"</f>
        <v>4574674200894814</v>
      </c>
      <c r="F5200" t="str">
        <f>"235"</f>
        <v>235</v>
      </c>
      <c r="G5200">
        <v>1</v>
      </c>
      <c r="H5200">
        <v>2023</v>
      </c>
      <c r="I5200" t="s">
        <v>5315</v>
      </c>
    </row>
    <row r="5201" spans="1:9" x14ac:dyDescent="0.3">
      <c r="A5201" t="s">
        <v>10144</v>
      </c>
      <c r="B5201" t="s">
        <v>89</v>
      </c>
      <c r="C5201">
        <v>9406582649</v>
      </c>
      <c r="D5201" s="2">
        <v>1</v>
      </c>
      <c r="E5201" t="str">
        <f>"4574674200894848"</f>
        <v>4574674200894848</v>
      </c>
      <c r="F5201" t="str">
        <f>"786"</f>
        <v>786</v>
      </c>
      <c r="G5201">
        <v>1</v>
      </c>
      <c r="H5201">
        <v>2023</v>
      </c>
      <c r="I5201" t="s">
        <v>5316</v>
      </c>
    </row>
    <row r="5202" spans="1:9" x14ac:dyDescent="0.3">
      <c r="A5202" t="s">
        <v>10144</v>
      </c>
      <c r="B5202" t="s">
        <v>89</v>
      </c>
      <c r="C5202">
        <v>9406582649</v>
      </c>
      <c r="D5202" s="2">
        <v>1</v>
      </c>
      <c r="E5202" t="str">
        <f>"4574674200894889"</f>
        <v>4574674200894889</v>
      </c>
      <c r="F5202" t="str">
        <f>"003"</f>
        <v>003</v>
      </c>
      <c r="G5202">
        <v>1</v>
      </c>
      <c r="H5202">
        <v>2023</v>
      </c>
      <c r="I5202" t="s">
        <v>5317</v>
      </c>
    </row>
    <row r="5203" spans="1:9" x14ac:dyDescent="0.3">
      <c r="A5203" t="s">
        <v>10144</v>
      </c>
      <c r="B5203" t="s">
        <v>89</v>
      </c>
      <c r="C5203">
        <v>9406582649</v>
      </c>
      <c r="D5203" s="2">
        <v>1</v>
      </c>
      <c r="E5203" t="str">
        <f>"4574674200894749"</f>
        <v>4574674200894749</v>
      </c>
      <c r="F5203" t="str">
        <f>"213"</f>
        <v>213</v>
      </c>
      <c r="G5203">
        <v>1</v>
      </c>
      <c r="H5203">
        <v>2023</v>
      </c>
      <c r="I5203" t="s">
        <v>5318</v>
      </c>
    </row>
    <row r="5204" spans="1:9" x14ac:dyDescent="0.3">
      <c r="A5204" t="s">
        <v>10144</v>
      </c>
      <c r="B5204" t="s">
        <v>89</v>
      </c>
      <c r="C5204">
        <v>9406582649</v>
      </c>
      <c r="D5204" s="2">
        <v>1</v>
      </c>
      <c r="E5204" t="str">
        <f>"4574674200895001"</f>
        <v>4574674200895001</v>
      </c>
      <c r="F5204" t="str">
        <f>"620"</f>
        <v>620</v>
      </c>
      <c r="G5204">
        <v>1</v>
      </c>
      <c r="H5204">
        <v>2023</v>
      </c>
      <c r="I5204" t="s">
        <v>5319</v>
      </c>
    </row>
    <row r="5205" spans="1:9" x14ac:dyDescent="0.3">
      <c r="A5205" t="s">
        <v>10144</v>
      </c>
      <c r="B5205" t="s">
        <v>89</v>
      </c>
      <c r="C5205">
        <v>9406582649</v>
      </c>
      <c r="D5205" s="2">
        <v>1</v>
      </c>
      <c r="E5205" t="str">
        <f>"4574674200894962"</f>
        <v>4574674200894962</v>
      </c>
      <c r="F5205" t="str">
        <f>"885"</f>
        <v>885</v>
      </c>
      <c r="G5205">
        <v>1</v>
      </c>
      <c r="H5205">
        <v>2023</v>
      </c>
      <c r="I5205" t="s">
        <v>5320</v>
      </c>
    </row>
    <row r="5206" spans="1:9" x14ac:dyDescent="0.3">
      <c r="A5206" t="s">
        <v>10144</v>
      </c>
      <c r="B5206" t="s">
        <v>89</v>
      </c>
      <c r="C5206">
        <v>9406582649</v>
      </c>
      <c r="D5206" s="2">
        <v>1</v>
      </c>
      <c r="E5206" t="str">
        <f>"4574674200894970"</f>
        <v>4574674200894970</v>
      </c>
      <c r="F5206" t="str">
        <f>"834"</f>
        <v>834</v>
      </c>
      <c r="G5206">
        <v>1</v>
      </c>
      <c r="H5206">
        <v>2023</v>
      </c>
      <c r="I5206" t="s">
        <v>5321</v>
      </c>
    </row>
    <row r="5207" spans="1:9" x14ac:dyDescent="0.3">
      <c r="A5207" t="s">
        <v>10144</v>
      </c>
      <c r="B5207" t="s">
        <v>89</v>
      </c>
      <c r="C5207">
        <v>9406582649</v>
      </c>
      <c r="D5207" s="2">
        <v>1</v>
      </c>
      <c r="E5207" t="str">
        <f>"4574674200895217"</f>
        <v>4574674200895217</v>
      </c>
      <c r="F5207" t="str">
        <f>"846"</f>
        <v>846</v>
      </c>
      <c r="G5207">
        <v>1</v>
      </c>
      <c r="H5207">
        <v>2023</v>
      </c>
      <c r="I5207" t="s">
        <v>5322</v>
      </c>
    </row>
    <row r="5208" spans="1:9" x14ac:dyDescent="0.3">
      <c r="A5208" t="s">
        <v>10144</v>
      </c>
      <c r="B5208" t="s">
        <v>89</v>
      </c>
      <c r="C5208">
        <v>9406582649</v>
      </c>
      <c r="D5208" s="2">
        <v>1</v>
      </c>
      <c r="E5208" t="str">
        <f>"4574674200895209"</f>
        <v>4574674200895209</v>
      </c>
      <c r="F5208" t="str">
        <f>"176"</f>
        <v>176</v>
      </c>
      <c r="G5208">
        <v>1</v>
      </c>
      <c r="H5208">
        <v>2023</v>
      </c>
      <c r="I5208" t="s">
        <v>5323</v>
      </c>
    </row>
    <row r="5209" spans="1:9" x14ac:dyDescent="0.3">
      <c r="A5209" t="s">
        <v>10145</v>
      </c>
      <c r="B5209" t="s">
        <v>90</v>
      </c>
      <c r="C5209">
        <v>9406582649</v>
      </c>
      <c r="D5209" s="2">
        <v>1</v>
      </c>
      <c r="E5209" t="str">
        <f>"4574674200895225"</f>
        <v>4574674200895225</v>
      </c>
      <c r="F5209" t="str">
        <f>"226"</f>
        <v>226</v>
      </c>
      <c r="G5209">
        <v>1</v>
      </c>
      <c r="H5209">
        <v>2023</v>
      </c>
      <c r="I5209" t="s">
        <v>5324</v>
      </c>
    </row>
    <row r="5210" spans="1:9" x14ac:dyDescent="0.3">
      <c r="A5210" t="s">
        <v>10145</v>
      </c>
      <c r="B5210" t="s">
        <v>90</v>
      </c>
      <c r="C5210">
        <v>9406582649</v>
      </c>
      <c r="D5210" s="2">
        <v>1</v>
      </c>
      <c r="E5210" t="str">
        <f>"4574674200895076"</f>
        <v>4574674200895076</v>
      </c>
      <c r="F5210" t="str">
        <f>"238"</f>
        <v>238</v>
      </c>
      <c r="G5210">
        <v>1</v>
      </c>
      <c r="H5210">
        <v>2023</v>
      </c>
      <c r="I5210" t="s">
        <v>5325</v>
      </c>
    </row>
    <row r="5211" spans="1:9" x14ac:dyDescent="0.3">
      <c r="A5211" t="s">
        <v>10145</v>
      </c>
      <c r="B5211" t="s">
        <v>90</v>
      </c>
      <c r="C5211">
        <v>9406582649</v>
      </c>
      <c r="D5211" s="2">
        <v>1</v>
      </c>
      <c r="E5211" t="str">
        <f>"4574674200895092"</f>
        <v>4574674200895092</v>
      </c>
      <c r="F5211" t="str">
        <f>"832"</f>
        <v>832</v>
      </c>
      <c r="G5211">
        <v>1</v>
      </c>
      <c r="H5211">
        <v>2023</v>
      </c>
      <c r="I5211" t="s">
        <v>5326</v>
      </c>
    </row>
    <row r="5212" spans="1:9" x14ac:dyDescent="0.3">
      <c r="A5212" t="s">
        <v>10145</v>
      </c>
      <c r="B5212" t="s">
        <v>90</v>
      </c>
      <c r="C5212">
        <v>9406582649</v>
      </c>
      <c r="D5212" s="2">
        <v>1</v>
      </c>
      <c r="E5212" t="str">
        <f>"4574674200895316"</f>
        <v>4574674200895316</v>
      </c>
      <c r="F5212" t="str">
        <f>"929"</f>
        <v>929</v>
      </c>
      <c r="G5212">
        <v>1</v>
      </c>
      <c r="H5212">
        <v>2023</v>
      </c>
      <c r="I5212" t="s">
        <v>5327</v>
      </c>
    </row>
    <row r="5213" spans="1:9" x14ac:dyDescent="0.3">
      <c r="A5213" t="s">
        <v>10145</v>
      </c>
      <c r="B5213" t="s">
        <v>90</v>
      </c>
      <c r="C5213">
        <v>9406582649</v>
      </c>
      <c r="D5213" s="2">
        <v>1</v>
      </c>
      <c r="E5213" t="str">
        <f>"4574674200895357"</f>
        <v>4574674200895357</v>
      </c>
      <c r="F5213" t="str">
        <f>"676"</f>
        <v>676</v>
      </c>
      <c r="G5213">
        <v>1</v>
      </c>
      <c r="H5213">
        <v>2023</v>
      </c>
      <c r="I5213" t="s">
        <v>5328</v>
      </c>
    </row>
    <row r="5214" spans="1:9" x14ac:dyDescent="0.3">
      <c r="A5214" t="s">
        <v>10145</v>
      </c>
      <c r="B5214" t="s">
        <v>90</v>
      </c>
      <c r="C5214">
        <v>9406582649</v>
      </c>
      <c r="D5214" s="2">
        <v>1</v>
      </c>
      <c r="E5214" t="str">
        <f>"4574674200895332"</f>
        <v>4574674200895332</v>
      </c>
      <c r="F5214" t="str">
        <f>"147"</f>
        <v>147</v>
      </c>
      <c r="G5214">
        <v>1</v>
      </c>
      <c r="H5214">
        <v>2023</v>
      </c>
      <c r="I5214" t="s">
        <v>5329</v>
      </c>
    </row>
    <row r="5215" spans="1:9" x14ac:dyDescent="0.3">
      <c r="A5215" t="s">
        <v>10145</v>
      </c>
      <c r="B5215" t="s">
        <v>90</v>
      </c>
      <c r="C5215">
        <v>9406582649</v>
      </c>
      <c r="D5215" s="2">
        <v>1</v>
      </c>
      <c r="E5215" t="str">
        <f>"4574674200895365"</f>
        <v>4574674200895365</v>
      </c>
      <c r="F5215" t="str">
        <f>"573"</f>
        <v>573</v>
      </c>
      <c r="G5215">
        <v>1</v>
      </c>
      <c r="H5215">
        <v>2023</v>
      </c>
      <c r="I5215" t="s">
        <v>5330</v>
      </c>
    </row>
    <row r="5216" spans="1:9" x14ac:dyDescent="0.3">
      <c r="A5216" t="s">
        <v>10145</v>
      </c>
      <c r="B5216" t="s">
        <v>90</v>
      </c>
      <c r="C5216">
        <v>9406582649</v>
      </c>
      <c r="D5216" s="2">
        <v>1</v>
      </c>
      <c r="E5216" t="str">
        <f>"4574674200895381"</f>
        <v>4574674200895381</v>
      </c>
      <c r="F5216" t="str">
        <f>"427"</f>
        <v>427</v>
      </c>
      <c r="G5216">
        <v>1</v>
      </c>
      <c r="H5216">
        <v>2023</v>
      </c>
      <c r="I5216" t="s">
        <v>5331</v>
      </c>
    </row>
    <row r="5217" spans="1:9" x14ac:dyDescent="0.3">
      <c r="A5217" t="s">
        <v>10145</v>
      </c>
      <c r="B5217" t="s">
        <v>90</v>
      </c>
      <c r="C5217">
        <v>9406582649</v>
      </c>
      <c r="D5217" s="2">
        <v>1</v>
      </c>
      <c r="E5217" t="str">
        <f>"4574674200895167"</f>
        <v>4574674200895167</v>
      </c>
      <c r="F5217" t="str">
        <f>"225"</f>
        <v>225</v>
      </c>
      <c r="G5217">
        <v>1</v>
      </c>
      <c r="H5217">
        <v>2023</v>
      </c>
      <c r="I5217" t="s">
        <v>5332</v>
      </c>
    </row>
    <row r="5218" spans="1:9" x14ac:dyDescent="0.3">
      <c r="A5218" t="s">
        <v>10145</v>
      </c>
      <c r="B5218" t="s">
        <v>90</v>
      </c>
      <c r="C5218">
        <v>9406582649</v>
      </c>
      <c r="D5218" s="2">
        <v>1</v>
      </c>
      <c r="E5218" t="str">
        <f>"4574674200895449"</f>
        <v>4574674200895449</v>
      </c>
      <c r="F5218" t="str">
        <f>"932"</f>
        <v>932</v>
      </c>
      <c r="G5218">
        <v>1</v>
      </c>
      <c r="H5218">
        <v>2023</v>
      </c>
      <c r="I5218" t="s">
        <v>5333</v>
      </c>
    </row>
    <row r="5219" spans="1:9" x14ac:dyDescent="0.3">
      <c r="A5219" t="s">
        <v>10146</v>
      </c>
      <c r="B5219" t="s">
        <v>91</v>
      </c>
      <c r="C5219">
        <v>9406582649</v>
      </c>
      <c r="D5219" s="2">
        <v>1</v>
      </c>
      <c r="E5219" t="str">
        <f>"4574674200895464"</f>
        <v>4574674200895464</v>
      </c>
      <c r="F5219" t="str">
        <f>"612"</f>
        <v>612</v>
      </c>
      <c r="G5219">
        <v>1</v>
      </c>
      <c r="H5219">
        <v>2023</v>
      </c>
      <c r="I5219" t="s">
        <v>5334</v>
      </c>
    </row>
    <row r="5220" spans="1:9" x14ac:dyDescent="0.3">
      <c r="A5220" t="s">
        <v>10146</v>
      </c>
      <c r="B5220" t="s">
        <v>91</v>
      </c>
      <c r="C5220">
        <v>9406582649</v>
      </c>
      <c r="D5220" s="2">
        <v>1</v>
      </c>
      <c r="E5220" t="str">
        <f>"4574674200895621"</f>
        <v>4574674200895621</v>
      </c>
      <c r="F5220" t="str">
        <f>"253"</f>
        <v>253</v>
      </c>
      <c r="G5220">
        <v>1</v>
      </c>
      <c r="H5220">
        <v>2023</v>
      </c>
      <c r="I5220" t="s">
        <v>5335</v>
      </c>
    </row>
    <row r="5221" spans="1:9" x14ac:dyDescent="0.3">
      <c r="A5221" t="s">
        <v>10146</v>
      </c>
      <c r="B5221" t="s">
        <v>91</v>
      </c>
      <c r="C5221">
        <v>9406582649</v>
      </c>
      <c r="D5221" s="2">
        <v>1</v>
      </c>
      <c r="E5221" t="str">
        <f>"4574674200895506"</f>
        <v>4574674200895506</v>
      </c>
      <c r="F5221" t="str">
        <f>"541"</f>
        <v>541</v>
      </c>
      <c r="G5221">
        <v>1</v>
      </c>
      <c r="H5221">
        <v>2023</v>
      </c>
      <c r="I5221" t="s">
        <v>5336</v>
      </c>
    </row>
    <row r="5222" spans="1:9" x14ac:dyDescent="0.3">
      <c r="A5222" t="s">
        <v>10146</v>
      </c>
      <c r="B5222" t="s">
        <v>91</v>
      </c>
      <c r="C5222">
        <v>9406582649</v>
      </c>
      <c r="D5222" s="2">
        <v>1</v>
      </c>
      <c r="E5222" t="str">
        <f>"4574674200895670"</f>
        <v>4574674200895670</v>
      </c>
      <c r="F5222" t="str">
        <f>"902"</f>
        <v>902</v>
      </c>
      <c r="G5222">
        <v>1</v>
      </c>
      <c r="H5222">
        <v>2023</v>
      </c>
      <c r="I5222" t="s">
        <v>5337</v>
      </c>
    </row>
    <row r="5223" spans="1:9" x14ac:dyDescent="0.3">
      <c r="A5223" t="s">
        <v>10146</v>
      </c>
      <c r="B5223" t="s">
        <v>91</v>
      </c>
      <c r="C5223">
        <v>9406582649</v>
      </c>
      <c r="D5223" s="2">
        <v>1</v>
      </c>
      <c r="E5223" t="str">
        <f>"4574674200895514"</f>
        <v>4574674200895514</v>
      </c>
      <c r="F5223" t="str">
        <f>"181"</f>
        <v>181</v>
      </c>
      <c r="G5223">
        <v>1</v>
      </c>
      <c r="H5223">
        <v>2023</v>
      </c>
      <c r="I5223" t="s">
        <v>5338</v>
      </c>
    </row>
    <row r="5224" spans="1:9" x14ac:dyDescent="0.3">
      <c r="A5224" t="s">
        <v>10146</v>
      </c>
      <c r="B5224" t="s">
        <v>91</v>
      </c>
      <c r="C5224">
        <v>9406582649</v>
      </c>
      <c r="D5224" s="2">
        <v>1</v>
      </c>
      <c r="E5224" t="str">
        <f>"4574674200895522"</f>
        <v>4574674200895522</v>
      </c>
      <c r="F5224" t="str">
        <f>"660"</f>
        <v>660</v>
      </c>
      <c r="G5224">
        <v>1</v>
      </c>
      <c r="H5224">
        <v>2023</v>
      </c>
      <c r="I5224" t="s">
        <v>5339</v>
      </c>
    </row>
    <row r="5225" spans="1:9" x14ac:dyDescent="0.3">
      <c r="A5225" t="s">
        <v>10146</v>
      </c>
      <c r="B5225" t="s">
        <v>91</v>
      </c>
      <c r="C5225">
        <v>9406582649</v>
      </c>
      <c r="D5225" s="2">
        <v>1</v>
      </c>
      <c r="E5225" t="str">
        <f>"4574674200895571"</f>
        <v>4574674200895571</v>
      </c>
      <c r="F5225" t="str">
        <f>"493"</f>
        <v>493</v>
      </c>
      <c r="G5225">
        <v>1</v>
      </c>
      <c r="H5225">
        <v>2023</v>
      </c>
      <c r="I5225" t="s">
        <v>5340</v>
      </c>
    </row>
    <row r="5226" spans="1:9" x14ac:dyDescent="0.3">
      <c r="A5226" t="s">
        <v>10146</v>
      </c>
      <c r="B5226" t="s">
        <v>91</v>
      </c>
      <c r="C5226">
        <v>9406582649</v>
      </c>
      <c r="D5226" s="2">
        <v>1</v>
      </c>
      <c r="E5226" t="str">
        <f>"4574674200895803"</f>
        <v>4574674200895803</v>
      </c>
      <c r="F5226" t="str">
        <f>"495"</f>
        <v>495</v>
      </c>
      <c r="G5226">
        <v>1</v>
      </c>
      <c r="H5226">
        <v>2023</v>
      </c>
      <c r="I5226" t="s">
        <v>5341</v>
      </c>
    </row>
    <row r="5227" spans="1:9" x14ac:dyDescent="0.3">
      <c r="A5227" t="s">
        <v>10146</v>
      </c>
      <c r="B5227" t="s">
        <v>91</v>
      </c>
      <c r="C5227">
        <v>9406582649</v>
      </c>
      <c r="D5227" s="2">
        <v>1</v>
      </c>
      <c r="E5227" t="str">
        <f>"4574674200895753"</f>
        <v>4574674200895753</v>
      </c>
      <c r="F5227" t="str">
        <f>"903"</f>
        <v>903</v>
      </c>
      <c r="G5227">
        <v>1</v>
      </c>
      <c r="H5227">
        <v>2023</v>
      </c>
      <c r="I5227" t="s">
        <v>5342</v>
      </c>
    </row>
    <row r="5228" spans="1:9" x14ac:dyDescent="0.3">
      <c r="A5228" t="s">
        <v>10146</v>
      </c>
      <c r="B5228" t="s">
        <v>91</v>
      </c>
      <c r="C5228">
        <v>9406582649</v>
      </c>
      <c r="D5228" s="2">
        <v>1</v>
      </c>
      <c r="E5228" t="str">
        <f>"4574674200895860"</f>
        <v>4574674200895860</v>
      </c>
      <c r="F5228" t="str">
        <f>"803"</f>
        <v>803</v>
      </c>
      <c r="G5228">
        <v>1</v>
      </c>
      <c r="H5228">
        <v>2023</v>
      </c>
      <c r="I5228" t="s">
        <v>5343</v>
      </c>
    </row>
    <row r="5229" spans="1:9" x14ac:dyDescent="0.3">
      <c r="A5229" t="s">
        <v>10147</v>
      </c>
      <c r="B5229" t="s">
        <v>92</v>
      </c>
      <c r="C5229">
        <v>9406582649</v>
      </c>
      <c r="D5229" s="2">
        <v>1</v>
      </c>
      <c r="E5229" t="str">
        <f>"4574674200895886"</f>
        <v>4574674200895886</v>
      </c>
      <c r="F5229" t="str">
        <f>"108"</f>
        <v>108</v>
      </c>
      <c r="G5229">
        <v>1</v>
      </c>
      <c r="H5229">
        <v>2023</v>
      </c>
      <c r="I5229" t="s">
        <v>5344</v>
      </c>
    </row>
    <row r="5230" spans="1:9" x14ac:dyDescent="0.3">
      <c r="A5230" t="s">
        <v>10147</v>
      </c>
      <c r="B5230" t="s">
        <v>92</v>
      </c>
      <c r="C5230">
        <v>9406582649</v>
      </c>
      <c r="D5230" s="2">
        <v>1</v>
      </c>
      <c r="E5230" t="str">
        <f>"4574674200895878"</f>
        <v>4574674200895878</v>
      </c>
      <c r="F5230" t="str">
        <f>"629"</f>
        <v>629</v>
      </c>
      <c r="G5230">
        <v>1</v>
      </c>
      <c r="H5230">
        <v>2023</v>
      </c>
      <c r="I5230" t="s">
        <v>5345</v>
      </c>
    </row>
    <row r="5231" spans="1:9" x14ac:dyDescent="0.3">
      <c r="A5231" t="s">
        <v>10147</v>
      </c>
      <c r="B5231" t="s">
        <v>92</v>
      </c>
      <c r="C5231">
        <v>9406582649</v>
      </c>
      <c r="D5231" s="2">
        <v>1</v>
      </c>
      <c r="E5231" t="str">
        <f>"4574674200895910"</f>
        <v>4574674200895910</v>
      </c>
      <c r="F5231" t="str">
        <f>"832"</f>
        <v>832</v>
      </c>
      <c r="G5231">
        <v>1</v>
      </c>
      <c r="H5231">
        <v>2023</v>
      </c>
      <c r="I5231" t="s">
        <v>5346</v>
      </c>
    </row>
    <row r="5232" spans="1:9" x14ac:dyDescent="0.3">
      <c r="A5232" t="s">
        <v>10147</v>
      </c>
      <c r="B5232" t="s">
        <v>92</v>
      </c>
      <c r="C5232">
        <v>9406582649</v>
      </c>
      <c r="D5232" s="2">
        <v>1</v>
      </c>
      <c r="E5232" t="str">
        <f>"4574674200895951"</f>
        <v>4574674200895951</v>
      </c>
      <c r="F5232" t="str">
        <f>"848"</f>
        <v>848</v>
      </c>
      <c r="G5232">
        <v>1</v>
      </c>
      <c r="H5232">
        <v>2023</v>
      </c>
      <c r="I5232" t="s">
        <v>5347</v>
      </c>
    </row>
    <row r="5233" spans="1:9" x14ac:dyDescent="0.3">
      <c r="A5233" t="s">
        <v>10147</v>
      </c>
      <c r="B5233" t="s">
        <v>92</v>
      </c>
      <c r="C5233">
        <v>9406582649</v>
      </c>
      <c r="D5233" s="2">
        <v>1</v>
      </c>
      <c r="E5233" t="str">
        <f>"4574674200896231"</f>
        <v>4574674200896231</v>
      </c>
      <c r="F5233" t="str">
        <f>"639"</f>
        <v>639</v>
      </c>
      <c r="G5233">
        <v>1</v>
      </c>
      <c r="H5233">
        <v>2023</v>
      </c>
      <c r="I5233" t="s">
        <v>5348</v>
      </c>
    </row>
    <row r="5234" spans="1:9" x14ac:dyDescent="0.3">
      <c r="A5234" t="s">
        <v>10147</v>
      </c>
      <c r="B5234" t="s">
        <v>92</v>
      </c>
      <c r="C5234">
        <v>9406582649</v>
      </c>
      <c r="D5234" s="2">
        <v>1</v>
      </c>
      <c r="E5234" t="str">
        <f>"4574674200896215"</f>
        <v>4574674200896215</v>
      </c>
      <c r="F5234" t="str">
        <f>"736"</f>
        <v>736</v>
      </c>
      <c r="G5234">
        <v>1</v>
      </c>
      <c r="H5234">
        <v>2023</v>
      </c>
      <c r="I5234" t="s">
        <v>5349</v>
      </c>
    </row>
    <row r="5235" spans="1:9" x14ac:dyDescent="0.3">
      <c r="A5235" t="s">
        <v>10147</v>
      </c>
      <c r="B5235" t="s">
        <v>92</v>
      </c>
      <c r="C5235">
        <v>9406582649</v>
      </c>
      <c r="D5235" s="2">
        <v>1</v>
      </c>
      <c r="E5235" t="str">
        <f>"4574674200896033"</f>
        <v>4574674200896033</v>
      </c>
      <c r="F5235" t="str">
        <f>"946"</f>
        <v>946</v>
      </c>
      <c r="G5235">
        <v>1</v>
      </c>
      <c r="H5235">
        <v>2023</v>
      </c>
      <c r="I5235" t="s">
        <v>5350</v>
      </c>
    </row>
    <row r="5236" spans="1:9" x14ac:dyDescent="0.3">
      <c r="A5236" t="s">
        <v>10147</v>
      </c>
      <c r="B5236" t="s">
        <v>92</v>
      </c>
      <c r="C5236">
        <v>9406582649</v>
      </c>
      <c r="D5236" s="2">
        <v>1</v>
      </c>
      <c r="E5236" t="str">
        <f>"4574674200896041"</f>
        <v>4574674200896041</v>
      </c>
      <c r="F5236" t="str">
        <f>"227"</f>
        <v>227</v>
      </c>
      <c r="G5236">
        <v>1</v>
      </c>
      <c r="H5236">
        <v>2023</v>
      </c>
      <c r="I5236" t="s">
        <v>5351</v>
      </c>
    </row>
    <row r="5237" spans="1:9" x14ac:dyDescent="0.3">
      <c r="A5237" t="s">
        <v>10147</v>
      </c>
      <c r="B5237" t="s">
        <v>92</v>
      </c>
      <c r="C5237">
        <v>9406582649</v>
      </c>
      <c r="D5237" s="2">
        <v>1</v>
      </c>
      <c r="E5237" t="str">
        <f>"4574674200896082"</f>
        <v>4574674200896082</v>
      </c>
      <c r="F5237" t="str">
        <f>"268"</f>
        <v>268</v>
      </c>
      <c r="G5237">
        <v>1</v>
      </c>
      <c r="H5237">
        <v>2023</v>
      </c>
      <c r="I5237" t="s">
        <v>5352</v>
      </c>
    </row>
    <row r="5238" spans="1:9" x14ac:dyDescent="0.3">
      <c r="A5238" t="s">
        <v>10147</v>
      </c>
      <c r="B5238" t="s">
        <v>92</v>
      </c>
      <c r="C5238">
        <v>9406582649</v>
      </c>
      <c r="D5238" s="2">
        <v>1</v>
      </c>
      <c r="E5238" t="str">
        <f>"4574674200896066"</f>
        <v>4574674200896066</v>
      </c>
      <c r="F5238" t="str">
        <f>"281"</f>
        <v>281</v>
      </c>
      <c r="G5238">
        <v>1</v>
      </c>
      <c r="H5238">
        <v>2023</v>
      </c>
      <c r="I5238" t="s">
        <v>5353</v>
      </c>
    </row>
    <row r="5239" spans="1:9" x14ac:dyDescent="0.3">
      <c r="A5239" t="s">
        <v>10148</v>
      </c>
      <c r="B5239" t="s">
        <v>93</v>
      </c>
      <c r="C5239">
        <v>9406582649</v>
      </c>
      <c r="D5239" s="2">
        <v>1</v>
      </c>
      <c r="E5239" t="str">
        <f>"4574674200896090"</f>
        <v>4574674200896090</v>
      </c>
      <c r="F5239" t="str">
        <f>"394"</f>
        <v>394</v>
      </c>
      <c r="G5239">
        <v>1</v>
      </c>
      <c r="H5239">
        <v>2023</v>
      </c>
      <c r="I5239" t="s">
        <v>5354</v>
      </c>
    </row>
    <row r="5240" spans="1:9" x14ac:dyDescent="0.3">
      <c r="A5240" t="s">
        <v>10148</v>
      </c>
      <c r="B5240" t="s">
        <v>93</v>
      </c>
      <c r="C5240">
        <v>9406582649</v>
      </c>
      <c r="D5240" s="2">
        <v>1</v>
      </c>
      <c r="E5240" t="str">
        <f>"4574674200896330"</f>
        <v>4574674200896330</v>
      </c>
      <c r="F5240" t="str">
        <f>"891"</f>
        <v>891</v>
      </c>
      <c r="G5240">
        <v>1</v>
      </c>
      <c r="H5240">
        <v>2023</v>
      </c>
      <c r="I5240" t="s">
        <v>5355</v>
      </c>
    </row>
    <row r="5241" spans="1:9" x14ac:dyDescent="0.3">
      <c r="A5241" t="s">
        <v>10148</v>
      </c>
      <c r="B5241" t="s">
        <v>93</v>
      </c>
      <c r="C5241">
        <v>9406582649</v>
      </c>
      <c r="D5241" s="2">
        <v>1</v>
      </c>
      <c r="E5241" t="str">
        <f>"4574674200896405"</f>
        <v>4574674200896405</v>
      </c>
      <c r="F5241" t="str">
        <f>"667"</f>
        <v>667</v>
      </c>
      <c r="G5241">
        <v>1</v>
      </c>
      <c r="H5241">
        <v>2023</v>
      </c>
      <c r="I5241" t="s">
        <v>5356</v>
      </c>
    </row>
    <row r="5242" spans="1:9" x14ac:dyDescent="0.3">
      <c r="A5242" t="s">
        <v>10148</v>
      </c>
      <c r="B5242" t="s">
        <v>93</v>
      </c>
      <c r="C5242">
        <v>9406582649</v>
      </c>
      <c r="D5242" s="2">
        <v>1</v>
      </c>
      <c r="E5242" t="str">
        <f>"4574674200896355"</f>
        <v>4574674200896355</v>
      </c>
      <c r="F5242" t="str">
        <f>"060"</f>
        <v>060</v>
      </c>
      <c r="G5242">
        <v>1</v>
      </c>
      <c r="H5242">
        <v>2023</v>
      </c>
      <c r="I5242" t="s">
        <v>5357</v>
      </c>
    </row>
    <row r="5243" spans="1:9" x14ac:dyDescent="0.3">
      <c r="A5243" t="s">
        <v>10148</v>
      </c>
      <c r="B5243" t="s">
        <v>93</v>
      </c>
      <c r="C5243">
        <v>9406582649</v>
      </c>
      <c r="D5243" s="2">
        <v>1</v>
      </c>
      <c r="E5243" t="str">
        <f>"4574674200896421"</f>
        <v>4574674200896421</v>
      </c>
      <c r="F5243" t="str">
        <f>"743"</f>
        <v>743</v>
      </c>
      <c r="G5243">
        <v>1</v>
      </c>
      <c r="H5243">
        <v>2023</v>
      </c>
      <c r="I5243" t="s">
        <v>5358</v>
      </c>
    </row>
    <row r="5244" spans="1:9" x14ac:dyDescent="0.3">
      <c r="A5244" t="s">
        <v>10148</v>
      </c>
      <c r="B5244" t="s">
        <v>93</v>
      </c>
      <c r="C5244">
        <v>9406582649</v>
      </c>
      <c r="D5244" s="2">
        <v>1</v>
      </c>
      <c r="E5244" t="str">
        <f>"4574674200896447"</f>
        <v>4574674200896447</v>
      </c>
      <c r="F5244" t="str">
        <f>"635"</f>
        <v>635</v>
      </c>
      <c r="G5244">
        <v>1</v>
      </c>
      <c r="H5244">
        <v>2023</v>
      </c>
      <c r="I5244" t="s">
        <v>5359</v>
      </c>
    </row>
    <row r="5245" spans="1:9" x14ac:dyDescent="0.3">
      <c r="A5245" t="s">
        <v>10148</v>
      </c>
      <c r="B5245" t="s">
        <v>93</v>
      </c>
      <c r="C5245">
        <v>9406582649</v>
      </c>
      <c r="D5245" s="2">
        <v>1</v>
      </c>
      <c r="E5245" t="str">
        <f>"4574674200896454"</f>
        <v>4574674200896454</v>
      </c>
      <c r="F5245" t="str">
        <f>"777"</f>
        <v>777</v>
      </c>
      <c r="G5245">
        <v>1</v>
      </c>
      <c r="H5245">
        <v>2023</v>
      </c>
      <c r="I5245" t="s">
        <v>5360</v>
      </c>
    </row>
    <row r="5246" spans="1:9" x14ac:dyDescent="0.3">
      <c r="A5246" t="s">
        <v>10148</v>
      </c>
      <c r="B5246" t="s">
        <v>93</v>
      </c>
      <c r="C5246">
        <v>9406582649</v>
      </c>
      <c r="D5246" s="2">
        <v>1</v>
      </c>
      <c r="E5246" t="str">
        <f>"4574674200896504"</f>
        <v>4574674200896504</v>
      </c>
      <c r="F5246" t="str">
        <f>"766"</f>
        <v>766</v>
      </c>
      <c r="G5246">
        <v>1</v>
      </c>
      <c r="H5246">
        <v>2023</v>
      </c>
      <c r="I5246" t="s">
        <v>5361</v>
      </c>
    </row>
    <row r="5247" spans="1:9" x14ac:dyDescent="0.3">
      <c r="A5247" t="s">
        <v>10148</v>
      </c>
      <c r="B5247" t="s">
        <v>93</v>
      </c>
      <c r="C5247">
        <v>9406582649</v>
      </c>
      <c r="D5247" s="2">
        <v>1</v>
      </c>
      <c r="E5247" t="str">
        <f>"4574674200896637"</f>
        <v>4574674200896637</v>
      </c>
      <c r="F5247" t="str">
        <f>"995"</f>
        <v>995</v>
      </c>
      <c r="G5247">
        <v>1</v>
      </c>
      <c r="H5247">
        <v>2023</v>
      </c>
      <c r="I5247" t="s">
        <v>5362</v>
      </c>
    </row>
    <row r="5248" spans="1:9" x14ac:dyDescent="0.3">
      <c r="A5248" t="s">
        <v>10148</v>
      </c>
      <c r="B5248" t="s">
        <v>93</v>
      </c>
      <c r="C5248">
        <v>9406582649</v>
      </c>
      <c r="D5248" s="2">
        <v>1</v>
      </c>
      <c r="E5248" t="str">
        <f>"4574674200896645"</f>
        <v>4574674200896645</v>
      </c>
      <c r="F5248" t="str">
        <f>"968"</f>
        <v>968</v>
      </c>
      <c r="G5248">
        <v>1</v>
      </c>
      <c r="H5248">
        <v>2023</v>
      </c>
      <c r="I5248" t="s">
        <v>5363</v>
      </c>
    </row>
    <row r="5249" spans="1:9" x14ac:dyDescent="0.3">
      <c r="A5249" t="s">
        <v>10149</v>
      </c>
      <c r="B5249" t="s">
        <v>94</v>
      </c>
      <c r="C5249">
        <v>9406582649</v>
      </c>
      <c r="D5249" s="2">
        <v>1</v>
      </c>
      <c r="E5249" t="str">
        <f>"4574674200896561"</f>
        <v>4574674200896561</v>
      </c>
      <c r="F5249" t="str">
        <f>"649"</f>
        <v>649</v>
      </c>
      <c r="G5249">
        <v>1</v>
      </c>
      <c r="H5249">
        <v>2023</v>
      </c>
      <c r="I5249" t="s">
        <v>5364</v>
      </c>
    </row>
    <row r="5250" spans="1:9" x14ac:dyDescent="0.3">
      <c r="A5250" t="s">
        <v>10149</v>
      </c>
      <c r="B5250" t="s">
        <v>94</v>
      </c>
      <c r="C5250">
        <v>9406582649</v>
      </c>
      <c r="D5250" s="2">
        <v>1</v>
      </c>
      <c r="E5250" t="str">
        <f>"4574674200896553"</f>
        <v>4574674200896553</v>
      </c>
      <c r="F5250" t="str">
        <f>"607"</f>
        <v>607</v>
      </c>
      <c r="G5250">
        <v>1</v>
      </c>
      <c r="H5250">
        <v>2023</v>
      </c>
      <c r="I5250" t="s">
        <v>5365</v>
      </c>
    </row>
    <row r="5251" spans="1:9" x14ac:dyDescent="0.3">
      <c r="A5251" t="s">
        <v>10149</v>
      </c>
      <c r="B5251" t="s">
        <v>94</v>
      </c>
      <c r="C5251">
        <v>9406582649</v>
      </c>
      <c r="D5251" s="2">
        <v>1</v>
      </c>
      <c r="E5251" t="str">
        <f>"4574674200896587"</f>
        <v>4574674200896587</v>
      </c>
      <c r="F5251" t="str">
        <f>"806"</f>
        <v>806</v>
      </c>
      <c r="G5251">
        <v>1</v>
      </c>
      <c r="H5251">
        <v>2023</v>
      </c>
      <c r="I5251" t="s">
        <v>5366</v>
      </c>
    </row>
    <row r="5252" spans="1:9" x14ac:dyDescent="0.3">
      <c r="A5252" t="s">
        <v>10149</v>
      </c>
      <c r="B5252" t="s">
        <v>94</v>
      </c>
      <c r="C5252">
        <v>9406582649</v>
      </c>
      <c r="D5252" s="2">
        <v>1</v>
      </c>
      <c r="E5252" t="str">
        <f>"4574674200896819"</f>
        <v>4574674200896819</v>
      </c>
      <c r="F5252" t="str">
        <f>"318"</f>
        <v>318</v>
      </c>
      <c r="G5252">
        <v>1</v>
      </c>
      <c r="H5252">
        <v>2023</v>
      </c>
      <c r="I5252" t="s">
        <v>5367</v>
      </c>
    </row>
    <row r="5253" spans="1:9" x14ac:dyDescent="0.3">
      <c r="A5253" t="s">
        <v>10149</v>
      </c>
      <c r="B5253" t="s">
        <v>94</v>
      </c>
      <c r="C5253">
        <v>9406582649</v>
      </c>
      <c r="D5253" s="2">
        <v>1</v>
      </c>
      <c r="E5253" t="str">
        <f>"4574674200896868"</f>
        <v>4574674200896868</v>
      </c>
      <c r="F5253" t="str">
        <f>"230"</f>
        <v>230</v>
      </c>
      <c r="G5253">
        <v>1</v>
      </c>
      <c r="H5253">
        <v>2023</v>
      </c>
      <c r="I5253" t="s">
        <v>5368</v>
      </c>
    </row>
    <row r="5254" spans="1:9" x14ac:dyDescent="0.3">
      <c r="A5254" t="s">
        <v>10149</v>
      </c>
      <c r="B5254" t="s">
        <v>94</v>
      </c>
      <c r="C5254">
        <v>9406582649</v>
      </c>
      <c r="D5254" s="2">
        <v>1</v>
      </c>
      <c r="E5254" t="str">
        <f>"4574674200896728"</f>
        <v>4574674200896728</v>
      </c>
      <c r="F5254" t="str">
        <f>"382"</f>
        <v>382</v>
      </c>
      <c r="G5254">
        <v>1</v>
      </c>
      <c r="H5254">
        <v>2023</v>
      </c>
      <c r="I5254" t="s">
        <v>5369</v>
      </c>
    </row>
    <row r="5255" spans="1:9" x14ac:dyDescent="0.3">
      <c r="A5255" t="s">
        <v>10149</v>
      </c>
      <c r="B5255" t="s">
        <v>94</v>
      </c>
      <c r="C5255">
        <v>9406582649</v>
      </c>
      <c r="D5255" s="2">
        <v>1</v>
      </c>
      <c r="E5255" t="str">
        <f>"4574674200896785"</f>
        <v>4574674200896785</v>
      </c>
      <c r="F5255" t="str">
        <f>"893"</f>
        <v>893</v>
      </c>
      <c r="G5255">
        <v>1</v>
      </c>
      <c r="H5255">
        <v>2023</v>
      </c>
      <c r="I5255" t="s">
        <v>5370</v>
      </c>
    </row>
    <row r="5256" spans="1:9" x14ac:dyDescent="0.3">
      <c r="A5256" t="s">
        <v>10149</v>
      </c>
      <c r="B5256" t="s">
        <v>94</v>
      </c>
      <c r="C5256">
        <v>9406582649</v>
      </c>
      <c r="D5256" s="2">
        <v>1</v>
      </c>
      <c r="E5256" t="str">
        <f>"4574674200896918"</f>
        <v>4574674200896918</v>
      </c>
      <c r="F5256" t="str">
        <f>"921"</f>
        <v>921</v>
      </c>
      <c r="G5256">
        <v>1</v>
      </c>
      <c r="H5256">
        <v>2023</v>
      </c>
      <c r="I5256" t="s">
        <v>5371</v>
      </c>
    </row>
    <row r="5257" spans="1:9" x14ac:dyDescent="0.3">
      <c r="A5257" t="s">
        <v>10149</v>
      </c>
      <c r="B5257" t="s">
        <v>94</v>
      </c>
      <c r="C5257">
        <v>9406582649</v>
      </c>
      <c r="D5257" s="2">
        <v>1</v>
      </c>
      <c r="E5257" t="str">
        <f>"4574674200896934"</f>
        <v>4574674200896934</v>
      </c>
      <c r="F5257" t="str">
        <f>"976"</f>
        <v>976</v>
      </c>
      <c r="G5257">
        <v>1</v>
      </c>
      <c r="H5257">
        <v>2023</v>
      </c>
      <c r="I5257" t="s">
        <v>5372</v>
      </c>
    </row>
    <row r="5258" spans="1:9" x14ac:dyDescent="0.3">
      <c r="A5258" t="s">
        <v>10149</v>
      </c>
      <c r="B5258" t="s">
        <v>94</v>
      </c>
      <c r="C5258">
        <v>9406582649</v>
      </c>
      <c r="D5258" s="2">
        <v>1</v>
      </c>
      <c r="E5258" t="str">
        <f>"4574674200896942"</f>
        <v>4574674200896942</v>
      </c>
      <c r="F5258" t="str">
        <f>"274"</f>
        <v>274</v>
      </c>
      <c r="G5258">
        <v>1</v>
      </c>
      <c r="H5258">
        <v>2023</v>
      </c>
      <c r="I5258" t="s">
        <v>5373</v>
      </c>
    </row>
    <row r="5259" spans="1:9" x14ac:dyDescent="0.3">
      <c r="A5259" t="s">
        <v>10118</v>
      </c>
      <c r="B5259" t="s">
        <v>95</v>
      </c>
      <c r="C5259">
        <v>9406582649</v>
      </c>
      <c r="D5259" s="2">
        <v>1</v>
      </c>
      <c r="E5259" t="str">
        <f>"4574674200897205"</f>
        <v>4574674200897205</v>
      </c>
      <c r="F5259" t="str">
        <f>"978"</f>
        <v>978</v>
      </c>
      <c r="G5259">
        <v>1</v>
      </c>
      <c r="H5259">
        <v>2023</v>
      </c>
      <c r="I5259" t="s">
        <v>5374</v>
      </c>
    </row>
    <row r="5260" spans="1:9" x14ac:dyDescent="0.3">
      <c r="A5260" t="s">
        <v>10118</v>
      </c>
      <c r="B5260" t="s">
        <v>95</v>
      </c>
      <c r="C5260">
        <v>9406582649</v>
      </c>
      <c r="D5260" s="2">
        <v>1</v>
      </c>
      <c r="E5260" t="str">
        <f>"4574674200897023"</f>
        <v>4574674200897023</v>
      </c>
      <c r="F5260" t="str">
        <f>"039"</f>
        <v>039</v>
      </c>
      <c r="G5260">
        <v>1</v>
      </c>
      <c r="H5260">
        <v>2023</v>
      </c>
      <c r="I5260" t="s">
        <v>5375</v>
      </c>
    </row>
    <row r="5261" spans="1:9" x14ac:dyDescent="0.3">
      <c r="A5261" t="s">
        <v>10118</v>
      </c>
      <c r="B5261" t="s">
        <v>95</v>
      </c>
      <c r="C5261">
        <v>9406582649</v>
      </c>
      <c r="D5261" s="2">
        <v>1</v>
      </c>
      <c r="E5261" t="str">
        <f>"4574674200897098"</f>
        <v>4574674200897098</v>
      </c>
      <c r="F5261" t="str">
        <f>"177"</f>
        <v>177</v>
      </c>
      <c r="G5261">
        <v>1</v>
      </c>
      <c r="H5261">
        <v>2023</v>
      </c>
      <c r="I5261" t="s">
        <v>5376</v>
      </c>
    </row>
    <row r="5262" spans="1:9" x14ac:dyDescent="0.3">
      <c r="A5262" t="s">
        <v>10118</v>
      </c>
      <c r="B5262" t="s">
        <v>95</v>
      </c>
      <c r="C5262">
        <v>9406582649</v>
      </c>
      <c r="D5262" s="2">
        <v>1</v>
      </c>
      <c r="E5262" t="str">
        <f>"4574674200897221"</f>
        <v>4574674200897221</v>
      </c>
      <c r="F5262" t="str">
        <f>"529"</f>
        <v>529</v>
      </c>
      <c r="G5262">
        <v>1</v>
      </c>
      <c r="H5262">
        <v>2023</v>
      </c>
      <c r="I5262" t="s">
        <v>5377</v>
      </c>
    </row>
    <row r="5263" spans="1:9" x14ac:dyDescent="0.3">
      <c r="A5263" t="s">
        <v>10118</v>
      </c>
      <c r="B5263" t="s">
        <v>95</v>
      </c>
      <c r="C5263">
        <v>9406582649</v>
      </c>
      <c r="D5263" s="2">
        <v>1</v>
      </c>
      <c r="E5263" t="str">
        <f>"4574674200897312"</f>
        <v>4574674200897312</v>
      </c>
      <c r="F5263" t="str">
        <f>"272"</f>
        <v>272</v>
      </c>
      <c r="G5263">
        <v>1</v>
      </c>
      <c r="H5263">
        <v>2023</v>
      </c>
      <c r="I5263" t="s">
        <v>5378</v>
      </c>
    </row>
    <row r="5264" spans="1:9" x14ac:dyDescent="0.3">
      <c r="A5264" t="s">
        <v>10118</v>
      </c>
      <c r="B5264" t="s">
        <v>95</v>
      </c>
      <c r="C5264">
        <v>9406582649</v>
      </c>
      <c r="D5264" s="2">
        <v>1</v>
      </c>
      <c r="E5264" t="str">
        <f>"4574674200897262"</f>
        <v>4574674200897262</v>
      </c>
      <c r="F5264" t="str">
        <f>"203"</f>
        <v>203</v>
      </c>
      <c r="G5264">
        <v>1</v>
      </c>
      <c r="H5264">
        <v>2023</v>
      </c>
      <c r="I5264" t="s">
        <v>5379</v>
      </c>
    </row>
    <row r="5265" spans="1:9" x14ac:dyDescent="0.3">
      <c r="A5265" t="s">
        <v>10118</v>
      </c>
      <c r="B5265" t="s">
        <v>95</v>
      </c>
      <c r="C5265">
        <v>9406582649</v>
      </c>
      <c r="D5265" s="2">
        <v>1</v>
      </c>
      <c r="E5265" t="str">
        <f>"4574674200897296"</f>
        <v>4574674200897296</v>
      </c>
      <c r="F5265" t="str">
        <f>"488"</f>
        <v>488</v>
      </c>
      <c r="G5265">
        <v>1</v>
      </c>
      <c r="H5265">
        <v>2023</v>
      </c>
      <c r="I5265" t="s">
        <v>5380</v>
      </c>
    </row>
    <row r="5266" spans="1:9" x14ac:dyDescent="0.3">
      <c r="A5266" t="s">
        <v>10118</v>
      </c>
      <c r="B5266" t="s">
        <v>95</v>
      </c>
      <c r="C5266">
        <v>9406582649</v>
      </c>
      <c r="D5266" s="2">
        <v>1</v>
      </c>
      <c r="E5266" t="str">
        <f>"4574674200897379"</f>
        <v>4574674200897379</v>
      </c>
      <c r="F5266" t="str">
        <f>"131"</f>
        <v>131</v>
      </c>
      <c r="G5266">
        <v>1</v>
      </c>
      <c r="H5266">
        <v>2023</v>
      </c>
      <c r="I5266" t="s">
        <v>5381</v>
      </c>
    </row>
    <row r="5267" spans="1:9" x14ac:dyDescent="0.3">
      <c r="A5267" t="s">
        <v>10118</v>
      </c>
      <c r="B5267" t="s">
        <v>95</v>
      </c>
      <c r="C5267">
        <v>9406582649</v>
      </c>
      <c r="D5267" s="2">
        <v>1</v>
      </c>
      <c r="E5267" t="str">
        <f>"4574674200897387"</f>
        <v>4574674200897387</v>
      </c>
      <c r="F5267" t="str">
        <f>"128"</f>
        <v>128</v>
      </c>
      <c r="G5267">
        <v>1</v>
      </c>
      <c r="H5267">
        <v>2023</v>
      </c>
      <c r="I5267" t="s">
        <v>5382</v>
      </c>
    </row>
    <row r="5268" spans="1:9" x14ac:dyDescent="0.3">
      <c r="A5268" t="s">
        <v>10118</v>
      </c>
      <c r="B5268" t="s">
        <v>95</v>
      </c>
      <c r="C5268">
        <v>9406582649</v>
      </c>
      <c r="D5268" s="2">
        <v>1</v>
      </c>
      <c r="E5268" t="str">
        <f>"4574674200897171"</f>
        <v>4574674200897171</v>
      </c>
      <c r="F5268" t="str">
        <f>"979"</f>
        <v>979</v>
      </c>
      <c r="G5268">
        <v>1</v>
      </c>
      <c r="H5268">
        <v>2023</v>
      </c>
      <c r="I5268" t="s">
        <v>5383</v>
      </c>
    </row>
    <row r="5269" spans="1:9" x14ac:dyDescent="0.3">
      <c r="A5269" t="s">
        <v>10119</v>
      </c>
      <c r="B5269" t="s">
        <v>96</v>
      </c>
      <c r="C5269">
        <v>9406582649</v>
      </c>
      <c r="D5269" s="2">
        <v>1</v>
      </c>
      <c r="E5269" t="str">
        <f>"4574674200897197"</f>
        <v>4574674200897197</v>
      </c>
      <c r="F5269" t="str">
        <f>"066"</f>
        <v>066</v>
      </c>
      <c r="G5269">
        <v>1</v>
      </c>
      <c r="H5269">
        <v>2023</v>
      </c>
      <c r="I5269" t="s">
        <v>5384</v>
      </c>
    </row>
    <row r="5270" spans="1:9" x14ac:dyDescent="0.3">
      <c r="A5270" t="s">
        <v>10119</v>
      </c>
      <c r="B5270" t="s">
        <v>96</v>
      </c>
      <c r="C5270">
        <v>9406582649</v>
      </c>
      <c r="D5270" s="2">
        <v>1</v>
      </c>
      <c r="E5270" t="str">
        <f>"4574674200897544"</f>
        <v>4574674200897544</v>
      </c>
      <c r="F5270" t="str">
        <f>"796"</f>
        <v>796</v>
      </c>
      <c r="G5270">
        <v>1</v>
      </c>
      <c r="H5270">
        <v>2023</v>
      </c>
      <c r="I5270" t="s">
        <v>5385</v>
      </c>
    </row>
    <row r="5271" spans="1:9" x14ac:dyDescent="0.3">
      <c r="A5271" t="s">
        <v>10119</v>
      </c>
      <c r="B5271" t="s">
        <v>96</v>
      </c>
      <c r="C5271">
        <v>9406582649</v>
      </c>
      <c r="D5271" s="2">
        <v>1</v>
      </c>
      <c r="E5271" t="str">
        <f>"4574674200897486"</f>
        <v>4574674200897486</v>
      </c>
      <c r="F5271" t="str">
        <f>"176"</f>
        <v>176</v>
      </c>
      <c r="G5271">
        <v>1</v>
      </c>
      <c r="H5271">
        <v>2023</v>
      </c>
      <c r="I5271" t="s">
        <v>5386</v>
      </c>
    </row>
    <row r="5272" spans="1:9" x14ac:dyDescent="0.3">
      <c r="A5272" t="s">
        <v>10119</v>
      </c>
      <c r="B5272" t="s">
        <v>96</v>
      </c>
      <c r="C5272">
        <v>9406582649</v>
      </c>
      <c r="D5272" s="2">
        <v>1</v>
      </c>
      <c r="E5272" t="str">
        <f>"4574674200897478"</f>
        <v>4574674200897478</v>
      </c>
      <c r="F5272" t="str">
        <f>"841"</f>
        <v>841</v>
      </c>
      <c r="G5272">
        <v>1</v>
      </c>
      <c r="H5272">
        <v>2023</v>
      </c>
      <c r="I5272" t="s">
        <v>5387</v>
      </c>
    </row>
    <row r="5273" spans="1:9" x14ac:dyDescent="0.3">
      <c r="A5273" t="s">
        <v>10119</v>
      </c>
      <c r="B5273" t="s">
        <v>96</v>
      </c>
      <c r="C5273">
        <v>9406582649</v>
      </c>
      <c r="D5273" s="2">
        <v>1</v>
      </c>
      <c r="E5273" t="str">
        <f>"4574674200897494"</f>
        <v>4574674200897494</v>
      </c>
      <c r="F5273" t="str">
        <f>"711"</f>
        <v>711</v>
      </c>
      <c r="G5273">
        <v>1</v>
      </c>
      <c r="H5273">
        <v>2023</v>
      </c>
      <c r="I5273" t="s">
        <v>5388</v>
      </c>
    </row>
    <row r="5274" spans="1:9" x14ac:dyDescent="0.3">
      <c r="A5274" t="s">
        <v>10119</v>
      </c>
      <c r="B5274" t="s">
        <v>96</v>
      </c>
      <c r="C5274">
        <v>9406582649</v>
      </c>
      <c r="D5274" s="2">
        <v>1</v>
      </c>
      <c r="E5274" t="str">
        <f>"4574674200897510"</f>
        <v>4574674200897510</v>
      </c>
      <c r="F5274" t="str">
        <f>"891"</f>
        <v>891</v>
      </c>
      <c r="G5274">
        <v>1</v>
      </c>
      <c r="H5274">
        <v>2023</v>
      </c>
      <c r="I5274" t="s">
        <v>5389</v>
      </c>
    </row>
    <row r="5275" spans="1:9" x14ac:dyDescent="0.3">
      <c r="A5275" t="s">
        <v>10119</v>
      </c>
      <c r="B5275" t="s">
        <v>96</v>
      </c>
      <c r="C5275">
        <v>9406582649</v>
      </c>
      <c r="D5275" s="2">
        <v>1</v>
      </c>
      <c r="E5275" t="str">
        <f>"4574674200897692"</f>
        <v>4574674200897692</v>
      </c>
      <c r="F5275" t="str">
        <f>"186"</f>
        <v>186</v>
      </c>
      <c r="G5275">
        <v>1</v>
      </c>
      <c r="H5275">
        <v>2023</v>
      </c>
      <c r="I5275" t="s">
        <v>5390</v>
      </c>
    </row>
    <row r="5276" spans="1:9" x14ac:dyDescent="0.3">
      <c r="A5276" t="s">
        <v>10119</v>
      </c>
      <c r="B5276" t="s">
        <v>96</v>
      </c>
      <c r="C5276">
        <v>9406582649</v>
      </c>
      <c r="D5276" s="2">
        <v>1</v>
      </c>
      <c r="E5276" t="str">
        <f>"4574674200897726"</f>
        <v>4574674200897726</v>
      </c>
      <c r="F5276" t="str">
        <f>"581"</f>
        <v>581</v>
      </c>
      <c r="G5276">
        <v>1</v>
      </c>
      <c r="H5276">
        <v>2023</v>
      </c>
      <c r="I5276" t="s">
        <v>5391</v>
      </c>
    </row>
    <row r="5277" spans="1:9" x14ac:dyDescent="0.3">
      <c r="A5277" t="s">
        <v>10119</v>
      </c>
      <c r="B5277" t="s">
        <v>96</v>
      </c>
      <c r="C5277">
        <v>9406582649</v>
      </c>
      <c r="D5277" s="2">
        <v>1</v>
      </c>
      <c r="E5277" t="str">
        <f>"4574674200897817"</f>
        <v>4574674200897817</v>
      </c>
      <c r="F5277" t="str">
        <f>"774"</f>
        <v>774</v>
      </c>
      <c r="G5277">
        <v>1</v>
      </c>
      <c r="H5277">
        <v>2023</v>
      </c>
      <c r="I5277" t="s">
        <v>5392</v>
      </c>
    </row>
    <row r="5278" spans="1:9" x14ac:dyDescent="0.3">
      <c r="A5278" t="s">
        <v>10119</v>
      </c>
      <c r="B5278" t="s">
        <v>96</v>
      </c>
      <c r="C5278">
        <v>9406582649</v>
      </c>
      <c r="D5278" s="2">
        <v>1</v>
      </c>
      <c r="E5278" t="str">
        <f>"4574674200897841"</f>
        <v>4574674200897841</v>
      </c>
      <c r="F5278" t="str">
        <f>"174"</f>
        <v>174</v>
      </c>
      <c r="G5278">
        <v>1</v>
      </c>
      <c r="H5278">
        <v>2023</v>
      </c>
      <c r="I5278" t="s">
        <v>5393</v>
      </c>
    </row>
    <row r="5279" spans="1:9" x14ac:dyDescent="0.3">
      <c r="A5279" t="s">
        <v>10120</v>
      </c>
      <c r="B5279" t="s">
        <v>97</v>
      </c>
      <c r="C5279">
        <v>9406582649</v>
      </c>
      <c r="D5279" s="2">
        <v>1</v>
      </c>
      <c r="E5279" t="str">
        <f>"4574674200897858"</f>
        <v>4574674200897858</v>
      </c>
      <c r="F5279" t="str">
        <f>"279"</f>
        <v>279</v>
      </c>
      <c r="G5279">
        <v>1</v>
      </c>
      <c r="H5279">
        <v>2023</v>
      </c>
      <c r="I5279" t="s">
        <v>5394</v>
      </c>
    </row>
    <row r="5280" spans="1:9" x14ac:dyDescent="0.3">
      <c r="A5280" t="s">
        <v>10120</v>
      </c>
      <c r="B5280" t="s">
        <v>97</v>
      </c>
      <c r="C5280">
        <v>9406582649</v>
      </c>
      <c r="D5280" s="2">
        <v>1</v>
      </c>
      <c r="E5280" t="str">
        <f>"4574674200897866"</f>
        <v>4574674200897866</v>
      </c>
      <c r="F5280" t="str">
        <f>"921"</f>
        <v>921</v>
      </c>
      <c r="G5280">
        <v>1</v>
      </c>
      <c r="H5280">
        <v>2023</v>
      </c>
      <c r="I5280" t="s">
        <v>5395</v>
      </c>
    </row>
    <row r="5281" spans="1:9" x14ac:dyDescent="0.3">
      <c r="A5281" t="s">
        <v>10120</v>
      </c>
      <c r="B5281" t="s">
        <v>97</v>
      </c>
      <c r="C5281">
        <v>9406582649</v>
      </c>
      <c r="D5281" s="2">
        <v>1</v>
      </c>
      <c r="E5281" t="str">
        <f>"4574674200897874"</f>
        <v>4574674200897874</v>
      </c>
      <c r="F5281" t="str">
        <f>"417"</f>
        <v>417</v>
      </c>
      <c r="G5281">
        <v>1</v>
      </c>
      <c r="H5281">
        <v>2023</v>
      </c>
      <c r="I5281" t="s">
        <v>5396</v>
      </c>
    </row>
    <row r="5282" spans="1:9" x14ac:dyDescent="0.3">
      <c r="A5282" t="s">
        <v>10120</v>
      </c>
      <c r="B5282" t="s">
        <v>97</v>
      </c>
      <c r="C5282">
        <v>9406582649</v>
      </c>
      <c r="D5282" s="2">
        <v>1</v>
      </c>
      <c r="E5282" t="str">
        <f>"4574674200898039"</f>
        <v>4574674200898039</v>
      </c>
      <c r="F5282" t="str">
        <f>"880"</f>
        <v>880</v>
      </c>
      <c r="G5282">
        <v>1</v>
      </c>
      <c r="H5282">
        <v>2023</v>
      </c>
      <c r="I5282" t="s">
        <v>5397</v>
      </c>
    </row>
    <row r="5283" spans="1:9" x14ac:dyDescent="0.3">
      <c r="A5283" t="s">
        <v>10120</v>
      </c>
      <c r="B5283" t="s">
        <v>97</v>
      </c>
      <c r="C5283">
        <v>9406582649</v>
      </c>
      <c r="D5283" s="2">
        <v>1</v>
      </c>
      <c r="E5283" t="str">
        <f>"4574674200898062"</f>
        <v>4574674200898062</v>
      </c>
      <c r="F5283" t="str">
        <f>"289"</f>
        <v>289</v>
      </c>
      <c r="G5283">
        <v>1</v>
      </c>
      <c r="H5283">
        <v>2023</v>
      </c>
      <c r="I5283" t="s">
        <v>5398</v>
      </c>
    </row>
    <row r="5284" spans="1:9" x14ac:dyDescent="0.3">
      <c r="A5284" t="s">
        <v>10120</v>
      </c>
      <c r="B5284" t="s">
        <v>97</v>
      </c>
      <c r="C5284">
        <v>9406582649</v>
      </c>
      <c r="D5284" s="2">
        <v>1</v>
      </c>
      <c r="E5284" t="str">
        <f>"4574674200897981"</f>
        <v>4574674200897981</v>
      </c>
      <c r="F5284" t="str">
        <f>"941"</f>
        <v>941</v>
      </c>
      <c r="G5284">
        <v>1</v>
      </c>
      <c r="H5284">
        <v>2023</v>
      </c>
      <c r="I5284" t="s">
        <v>5399</v>
      </c>
    </row>
    <row r="5285" spans="1:9" x14ac:dyDescent="0.3">
      <c r="A5285" t="s">
        <v>10120</v>
      </c>
      <c r="B5285" t="s">
        <v>97</v>
      </c>
      <c r="C5285">
        <v>9406582649</v>
      </c>
      <c r="D5285" s="2">
        <v>1</v>
      </c>
      <c r="E5285" t="str">
        <f>"4574674200897957"</f>
        <v>4574674200897957</v>
      </c>
      <c r="F5285" t="str">
        <f>"305"</f>
        <v>305</v>
      </c>
      <c r="G5285">
        <v>1</v>
      </c>
      <c r="H5285">
        <v>2023</v>
      </c>
      <c r="I5285" t="s">
        <v>5400</v>
      </c>
    </row>
    <row r="5286" spans="1:9" x14ac:dyDescent="0.3">
      <c r="A5286" t="s">
        <v>10120</v>
      </c>
      <c r="B5286" t="s">
        <v>97</v>
      </c>
      <c r="C5286">
        <v>9406582649</v>
      </c>
      <c r="D5286" s="2">
        <v>1</v>
      </c>
      <c r="E5286" t="str">
        <f>"4574674200897932"</f>
        <v>4574674200897932</v>
      </c>
      <c r="F5286" t="str">
        <f>"187"</f>
        <v>187</v>
      </c>
      <c r="G5286">
        <v>1</v>
      </c>
      <c r="H5286">
        <v>2023</v>
      </c>
      <c r="I5286" t="s">
        <v>5401</v>
      </c>
    </row>
    <row r="5287" spans="1:9" x14ac:dyDescent="0.3">
      <c r="A5287" t="s">
        <v>10120</v>
      </c>
      <c r="B5287" t="s">
        <v>97</v>
      </c>
      <c r="C5287">
        <v>9406582649</v>
      </c>
      <c r="D5287" s="2">
        <v>1</v>
      </c>
      <c r="E5287" t="str">
        <f>"4574674200898203"</f>
        <v>4574674200898203</v>
      </c>
      <c r="F5287" t="str">
        <f>"605"</f>
        <v>605</v>
      </c>
      <c r="G5287">
        <v>1</v>
      </c>
      <c r="H5287">
        <v>2023</v>
      </c>
      <c r="I5287" t="s">
        <v>5402</v>
      </c>
    </row>
    <row r="5288" spans="1:9" x14ac:dyDescent="0.3">
      <c r="A5288" t="s">
        <v>10120</v>
      </c>
      <c r="B5288" t="s">
        <v>97</v>
      </c>
      <c r="C5288">
        <v>9406582649</v>
      </c>
      <c r="D5288" s="2">
        <v>1</v>
      </c>
      <c r="E5288" t="str">
        <f>"4574674200898245"</f>
        <v>4574674200898245</v>
      </c>
      <c r="F5288" t="str">
        <f>"636"</f>
        <v>636</v>
      </c>
      <c r="G5288">
        <v>1</v>
      </c>
      <c r="H5288">
        <v>2023</v>
      </c>
      <c r="I5288" t="s">
        <v>5403</v>
      </c>
    </row>
    <row r="5289" spans="1:9" x14ac:dyDescent="0.3">
      <c r="A5289" t="s">
        <v>10121</v>
      </c>
      <c r="B5289" t="s">
        <v>98</v>
      </c>
      <c r="C5289">
        <v>9406582649</v>
      </c>
      <c r="D5289" s="2">
        <v>1</v>
      </c>
      <c r="E5289" t="str">
        <f>"4574674200898146"</f>
        <v>4574674200898146</v>
      </c>
      <c r="F5289" t="str">
        <f>"575"</f>
        <v>575</v>
      </c>
      <c r="G5289">
        <v>1</v>
      </c>
      <c r="H5289">
        <v>2023</v>
      </c>
      <c r="I5289" t="s">
        <v>5404</v>
      </c>
    </row>
    <row r="5290" spans="1:9" x14ac:dyDescent="0.3">
      <c r="A5290" t="s">
        <v>10121</v>
      </c>
      <c r="B5290" t="s">
        <v>98</v>
      </c>
      <c r="C5290">
        <v>9406582649</v>
      </c>
      <c r="D5290" s="2">
        <v>1</v>
      </c>
      <c r="E5290" t="str">
        <f>"4574674200898161"</f>
        <v>4574674200898161</v>
      </c>
      <c r="F5290" t="str">
        <f>"870"</f>
        <v>870</v>
      </c>
      <c r="G5290">
        <v>1</v>
      </c>
      <c r="H5290">
        <v>2023</v>
      </c>
      <c r="I5290" t="s">
        <v>5405</v>
      </c>
    </row>
    <row r="5291" spans="1:9" x14ac:dyDescent="0.3">
      <c r="A5291" t="s">
        <v>10121</v>
      </c>
      <c r="B5291" t="s">
        <v>98</v>
      </c>
      <c r="C5291">
        <v>9406582649</v>
      </c>
      <c r="D5291" s="2">
        <v>1</v>
      </c>
      <c r="E5291" t="str">
        <f>"4574674200898302"</f>
        <v>4574674200898302</v>
      </c>
      <c r="F5291" t="str">
        <f>"209"</f>
        <v>209</v>
      </c>
      <c r="G5291">
        <v>1</v>
      </c>
      <c r="H5291">
        <v>2023</v>
      </c>
      <c r="I5291" t="s">
        <v>5406</v>
      </c>
    </row>
    <row r="5292" spans="1:9" x14ac:dyDescent="0.3">
      <c r="A5292" t="s">
        <v>10121</v>
      </c>
      <c r="B5292" t="s">
        <v>98</v>
      </c>
      <c r="C5292">
        <v>9406582649</v>
      </c>
      <c r="D5292" s="2">
        <v>1</v>
      </c>
      <c r="E5292" t="str">
        <f>"4574674200898351"</f>
        <v>4574674200898351</v>
      </c>
      <c r="F5292" t="str">
        <f>"406"</f>
        <v>406</v>
      </c>
      <c r="G5292">
        <v>1</v>
      </c>
      <c r="H5292">
        <v>2023</v>
      </c>
      <c r="I5292" t="s">
        <v>5407</v>
      </c>
    </row>
    <row r="5293" spans="1:9" x14ac:dyDescent="0.3">
      <c r="A5293" t="s">
        <v>10121</v>
      </c>
      <c r="B5293" t="s">
        <v>98</v>
      </c>
      <c r="C5293">
        <v>9406582649</v>
      </c>
      <c r="D5293" s="2">
        <v>1</v>
      </c>
      <c r="E5293" t="str">
        <f>"4574674200898336"</f>
        <v>4574674200898336</v>
      </c>
      <c r="F5293" t="str">
        <f>"203"</f>
        <v>203</v>
      </c>
      <c r="G5293">
        <v>1</v>
      </c>
      <c r="H5293">
        <v>2023</v>
      </c>
      <c r="I5293" t="s">
        <v>5408</v>
      </c>
    </row>
    <row r="5294" spans="1:9" x14ac:dyDescent="0.3">
      <c r="A5294" t="s">
        <v>10121</v>
      </c>
      <c r="B5294" t="s">
        <v>98</v>
      </c>
      <c r="C5294">
        <v>9406582649</v>
      </c>
      <c r="D5294" s="2">
        <v>1</v>
      </c>
      <c r="E5294" t="str">
        <f>"4574674200898443"</f>
        <v>4574674200898443</v>
      </c>
      <c r="F5294" t="str">
        <f>"755"</f>
        <v>755</v>
      </c>
      <c r="G5294">
        <v>1</v>
      </c>
      <c r="H5294">
        <v>2023</v>
      </c>
      <c r="I5294" t="s">
        <v>5409</v>
      </c>
    </row>
    <row r="5295" spans="1:9" x14ac:dyDescent="0.3">
      <c r="A5295" t="s">
        <v>10121</v>
      </c>
      <c r="B5295" t="s">
        <v>98</v>
      </c>
      <c r="C5295">
        <v>9406582649</v>
      </c>
      <c r="D5295" s="2">
        <v>1</v>
      </c>
      <c r="E5295" t="str">
        <f>"4574674200898625"</f>
        <v>4574674200898625</v>
      </c>
      <c r="F5295" t="str">
        <f>"610"</f>
        <v>610</v>
      </c>
      <c r="G5295">
        <v>1</v>
      </c>
      <c r="H5295">
        <v>2023</v>
      </c>
      <c r="I5295" t="s">
        <v>5410</v>
      </c>
    </row>
    <row r="5296" spans="1:9" x14ac:dyDescent="0.3">
      <c r="A5296" t="s">
        <v>10121</v>
      </c>
      <c r="B5296" t="s">
        <v>98</v>
      </c>
      <c r="C5296">
        <v>9406582649</v>
      </c>
      <c r="D5296" s="2">
        <v>1</v>
      </c>
      <c r="E5296" t="str">
        <f>"4574674200898708"</f>
        <v>4574674200898708</v>
      </c>
      <c r="F5296" t="str">
        <f>"693"</f>
        <v>693</v>
      </c>
      <c r="G5296">
        <v>1</v>
      </c>
      <c r="H5296">
        <v>2023</v>
      </c>
      <c r="I5296" t="s">
        <v>5411</v>
      </c>
    </row>
    <row r="5297" spans="1:9" x14ac:dyDescent="0.3">
      <c r="A5297" t="s">
        <v>10121</v>
      </c>
      <c r="B5297" t="s">
        <v>98</v>
      </c>
      <c r="C5297">
        <v>9406582649</v>
      </c>
      <c r="D5297" s="2">
        <v>1</v>
      </c>
      <c r="E5297" t="str">
        <f>"4574674200898526"</f>
        <v>4574674200898526</v>
      </c>
      <c r="F5297" t="str">
        <f>"334"</f>
        <v>334</v>
      </c>
      <c r="G5297">
        <v>1</v>
      </c>
      <c r="H5297">
        <v>2023</v>
      </c>
      <c r="I5297" t="s">
        <v>5412</v>
      </c>
    </row>
    <row r="5298" spans="1:9" x14ac:dyDescent="0.3">
      <c r="A5298" t="s">
        <v>10121</v>
      </c>
      <c r="B5298" t="s">
        <v>98</v>
      </c>
      <c r="C5298">
        <v>9406582649</v>
      </c>
      <c r="D5298" s="2">
        <v>1</v>
      </c>
      <c r="E5298" t="str">
        <f>"4574674200898542"</f>
        <v>4574674200898542</v>
      </c>
      <c r="F5298" t="str">
        <f>"900"</f>
        <v>900</v>
      </c>
      <c r="G5298">
        <v>1</v>
      </c>
      <c r="H5298">
        <v>2023</v>
      </c>
      <c r="I5298" t="s">
        <v>5413</v>
      </c>
    </row>
    <row r="5299" spans="1:9" x14ac:dyDescent="0.3">
      <c r="A5299" t="s">
        <v>10122</v>
      </c>
      <c r="B5299" t="s">
        <v>99</v>
      </c>
      <c r="C5299">
        <v>9406582649</v>
      </c>
      <c r="D5299" s="2">
        <v>1</v>
      </c>
      <c r="E5299" t="str">
        <f>"4574674200898534"</f>
        <v>4574674200898534</v>
      </c>
      <c r="F5299" t="str">
        <f>"325"</f>
        <v>325</v>
      </c>
      <c r="G5299">
        <v>1</v>
      </c>
      <c r="H5299">
        <v>2023</v>
      </c>
      <c r="I5299" t="s">
        <v>5414</v>
      </c>
    </row>
    <row r="5300" spans="1:9" x14ac:dyDescent="0.3">
      <c r="A5300" t="s">
        <v>10122</v>
      </c>
      <c r="B5300" t="s">
        <v>99</v>
      </c>
      <c r="C5300">
        <v>9406582649</v>
      </c>
      <c r="D5300" s="2">
        <v>1</v>
      </c>
      <c r="E5300" t="str">
        <f>"4574674200898807"</f>
        <v>4574674200898807</v>
      </c>
      <c r="F5300" t="str">
        <f>"873"</f>
        <v>873</v>
      </c>
      <c r="G5300">
        <v>1</v>
      </c>
      <c r="H5300">
        <v>2023</v>
      </c>
      <c r="I5300" t="s">
        <v>5415</v>
      </c>
    </row>
    <row r="5301" spans="1:9" x14ac:dyDescent="0.3">
      <c r="A5301" t="s">
        <v>10122</v>
      </c>
      <c r="B5301" t="s">
        <v>99</v>
      </c>
      <c r="C5301">
        <v>9406582649</v>
      </c>
      <c r="D5301" s="2">
        <v>1</v>
      </c>
      <c r="E5301" t="str">
        <f>"4574674200898765"</f>
        <v>4574674200898765</v>
      </c>
      <c r="F5301" t="str">
        <f>"525"</f>
        <v>525</v>
      </c>
      <c r="G5301">
        <v>1</v>
      </c>
      <c r="H5301">
        <v>2023</v>
      </c>
      <c r="I5301" t="s">
        <v>5416</v>
      </c>
    </row>
    <row r="5302" spans="1:9" x14ac:dyDescent="0.3">
      <c r="A5302" t="s">
        <v>10122</v>
      </c>
      <c r="B5302" t="s">
        <v>99</v>
      </c>
      <c r="C5302">
        <v>9406582649</v>
      </c>
      <c r="D5302" s="2">
        <v>1</v>
      </c>
      <c r="E5302" t="str">
        <f>"4574674200898781"</f>
        <v>4574674200898781</v>
      </c>
      <c r="F5302" t="str">
        <f>"003"</f>
        <v>003</v>
      </c>
      <c r="G5302">
        <v>1</v>
      </c>
      <c r="H5302">
        <v>2023</v>
      </c>
      <c r="I5302" t="s">
        <v>5417</v>
      </c>
    </row>
    <row r="5303" spans="1:9" x14ac:dyDescent="0.3">
      <c r="A5303" t="s">
        <v>10122</v>
      </c>
      <c r="B5303" t="s">
        <v>99</v>
      </c>
      <c r="C5303">
        <v>9406582649</v>
      </c>
      <c r="D5303" s="2">
        <v>1</v>
      </c>
      <c r="E5303" t="str">
        <f>"4574674200898815"</f>
        <v>4574674200898815</v>
      </c>
      <c r="F5303" t="str">
        <f>"591"</f>
        <v>591</v>
      </c>
      <c r="G5303">
        <v>1</v>
      </c>
      <c r="H5303">
        <v>2023</v>
      </c>
      <c r="I5303" t="s">
        <v>5418</v>
      </c>
    </row>
    <row r="5304" spans="1:9" x14ac:dyDescent="0.3">
      <c r="A5304" t="s">
        <v>10122</v>
      </c>
      <c r="B5304" t="s">
        <v>99</v>
      </c>
      <c r="C5304">
        <v>9406582649</v>
      </c>
      <c r="D5304" s="2">
        <v>1</v>
      </c>
      <c r="E5304" t="str">
        <f>"4574674200898906"</f>
        <v>4574674200898906</v>
      </c>
      <c r="F5304" t="str">
        <f>"189"</f>
        <v>189</v>
      </c>
      <c r="G5304">
        <v>1</v>
      </c>
      <c r="H5304">
        <v>2023</v>
      </c>
      <c r="I5304" t="s">
        <v>5419</v>
      </c>
    </row>
    <row r="5305" spans="1:9" x14ac:dyDescent="0.3">
      <c r="A5305" t="s">
        <v>10122</v>
      </c>
      <c r="B5305" t="s">
        <v>99</v>
      </c>
      <c r="C5305">
        <v>9406582649</v>
      </c>
      <c r="D5305" s="2">
        <v>1</v>
      </c>
      <c r="E5305" t="str">
        <f>"4574674200898922"</f>
        <v>4574674200898922</v>
      </c>
      <c r="F5305" t="str">
        <f>"384"</f>
        <v>384</v>
      </c>
      <c r="G5305">
        <v>1</v>
      </c>
      <c r="H5305">
        <v>2023</v>
      </c>
      <c r="I5305" t="s">
        <v>5420</v>
      </c>
    </row>
    <row r="5306" spans="1:9" x14ac:dyDescent="0.3">
      <c r="A5306" t="s">
        <v>10122</v>
      </c>
      <c r="B5306" t="s">
        <v>99</v>
      </c>
      <c r="C5306">
        <v>9406582649</v>
      </c>
      <c r="D5306" s="2">
        <v>1</v>
      </c>
      <c r="E5306" t="str">
        <f>"4574674200898955"</f>
        <v>4574674200898955</v>
      </c>
      <c r="F5306" t="str">
        <f>"974"</f>
        <v>974</v>
      </c>
      <c r="G5306">
        <v>1</v>
      </c>
      <c r="H5306">
        <v>2023</v>
      </c>
      <c r="I5306" t="s">
        <v>5421</v>
      </c>
    </row>
    <row r="5307" spans="1:9" x14ac:dyDescent="0.3">
      <c r="A5307" t="s">
        <v>10122</v>
      </c>
      <c r="B5307" t="s">
        <v>99</v>
      </c>
      <c r="C5307">
        <v>9406582649</v>
      </c>
      <c r="D5307" s="2">
        <v>1</v>
      </c>
      <c r="E5307" t="str">
        <f>"4574674200898963"</f>
        <v>4574674200898963</v>
      </c>
      <c r="F5307" t="str">
        <f>"096"</f>
        <v>096</v>
      </c>
      <c r="G5307">
        <v>1</v>
      </c>
      <c r="H5307">
        <v>2023</v>
      </c>
      <c r="I5307" t="s">
        <v>5422</v>
      </c>
    </row>
    <row r="5308" spans="1:9" x14ac:dyDescent="0.3">
      <c r="A5308" t="s">
        <v>10122</v>
      </c>
      <c r="B5308" t="s">
        <v>99</v>
      </c>
      <c r="C5308">
        <v>9406582649</v>
      </c>
      <c r="D5308" s="2">
        <v>1</v>
      </c>
      <c r="E5308" t="str">
        <f>"4574674200899078"</f>
        <v>4574674200899078</v>
      </c>
      <c r="F5308" t="str">
        <f>"507"</f>
        <v>507</v>
      </c>
      <c r="G5308">
        <v>1</v>
      </c>
      <c r="H5308">
        <v>2023</v>
      </c>
      <c r="I5308" t="s">
        <v>5423</v>
      </c>
    </row>
    <row r="5309" spans="1:9" x14ac:dyDescent="0.3">
      <c r="A5309" t="s">
        <v>10123</v>
      </c>
      <c r="B5309" t="s">
        <v>100</v>
      </c>
      <c r="C5309">
        <v>9406582649</v>
      </c>
      <c r="D5309" s="2">
        <v>1</v>
      </c>
      <c r="E5309" t="str">
        <f>"4574674200899144"</f>
        <v>4574674200899144</v>
      </c>
      <c r="F5309" t="str">
        <f>"280"</f>
        <v>280</v>
      </c>
      <c r="G5309">
        <v>1</v>
      </c>
      <c r="H5309">
        <v>2023</v>
      </c>
      <c r="I5309" t="s">
        <v>5424</v>
      </c>
    </row>
    <row r="5310" spans="1:9" x14ac:dyDescent="0.3">
      <c r="A5310" t="s">
        <v>10123</v>
      </c>
      <c r="B5310" t="s">
        <v>100</v>
      </c>
      <c r="C5310">
        <v>9406582649</v>
      </c>
      <c r="D5310" s="2">
        <v>1</v>
      </c>
      <c r="E5310" t="str">
        <f>"4574674200899219"</f>
        <v>4574674200899219</v>
      </c>
      <c r="F5310" t="str">
        <f>"215"</f>
        <v>215</v>
      </c>
      <c r="G5310">
        <v>1</v>
      </c>
      <c r="H5310">
        <v>2023</v>
      </c>
      <c r="I5310" t="s">
        <v>5425</v>
      </c>
    </row>
    <row r="5311" spans="1:9" x14ac:dyDescent="0.3">
      <c r="A5311" t="s">
        <v>10123</v>
      </c>
      <c r="B5311" t="s">
        <v>100</v>
      </c>
      <c r="C5311">
        <v>9406582649</v>
      </c>
      <c r="D5311" s="2">
        <v>1</v>
      </c>
      <c r="E5311" t="str">
        <f>"4574674200899227"</f>
        <v>4574674200899227</v>
      </c>
      <c r="F5311" t="str">
        <f>"510"</f>
        <v>510</v>
      </c>
      <c r="G5311">
        <v>1</v>
      </c>
      <c r="H5311">
        <v>2023</v>
      </c>
      <c r="I5311" t="s">
        <v>5426</v>
      </c>
    </row>
    <row r="5312" spans="1:9" x14ac:dyDescent="0.3">
      <c r="A5312" t="s">
        <v>10123</v>
      </c>
      <c r="B5312" t="s">
        <v>100</v>
      </c>
      <c r="C5312">
        <v>9406582649</v>
      </c>
      <c r="D5312" s="2">
        <v>1</v>
      </c>
      <c r="E5312" t="str">
        <f>"4574674200899250"</f>
        <v>4574674200899250</v>
      </c>
      <c r="F5312" t="str">
        <f>"201"</f>
        <v>201</v>
      </c>
      <c r="G5312">
        <v>1</v>
      </c>
      <c r="H5312">
        <v>2023</v>
      </c>
      <c r="I5312" t="s">
        <v>5427</v>
      </c>
    </row>
    <row r="5313" spans="1:9" x14ac:dyDescent="0.3">
      <c r="A5313" t="s">
        <v>10123</v>
      </c>
      <c r="B5313" t="s">
        <v>100</v>
      </c>
      <c r="C5313">
        <v>9406582649</v>
      </c>
      <c r="D5313" s="2">
        <v>1</v>
      </c>
      <c r="E5313" t="str">
        <f>"4574674200899268"</f>
        <v>4574674200899268</v>
      </c>
      <c r="F5313" t="str">
        <f>"028"</f>
        <v>028</v>
      </c>
      <c r="G5313">
        <v>1</v>
      </c>
      <c r="H5313">
        <v>2023</v>
      </c>
      <c r="I5313" t="s">
        <v>5428</v>
      </c>
    </row>
    <row r="5314" spans="1:9" x14ac:dyDescent="0.3">
      <c r="A5314" t="s">
        <v>10123</v>
      </c>
      <c r="B5314" t="s">
        <v>100</v>
      </c>
      <c r="C5314">
        <v>9406582649</v>
      </c>
      <c r="D5314" s="2">
        <v>1</v>
      </c>
      <c r="E5314" t="str">
        <f>"4574674200899292"</f>
        <v>4574674200899292</v>
      </c>
      <c r="F5314" t="str">
        <f>"649"</f>
        <v>649</v>
      </c>
      <c r="G5314">
        <v>1</v>
      </c>
      <c r="H5314">
        <v>2023</v>
      </c>
      <c r="I5314" t="s">
        <v>5429</v>
      </c>
    </row>
    <row r="5315" spans="1:9" x14ac:dyDescent="0.3">
      <c r="A5315" t="s">
        <v>10123</v>
      </c>
      <c r="B5315" t="s">
        <v>100</v>
      </c>
      <c r="C5315">
        <v>9406582649</v>
      </c>
      <c r="D5315" s="2">
        <v>1</v>
      </c>
      <c r="E5315" t="str">
        <f>"4574674200899185"</f>
        <v>4574674200899185</v>
      </c>
      <c r="F5315" t="str">
        <f>"927"</f>
        <v>927</v>
      </c>
      <c r="G5315">
        <v>1</v>
      </c>
      <c r="H5315">
        <v>2023</v>
      </c>
      <c r="I5315" t="s">
        <v>5430</v>
      </c>
    </row>
    <row r="5316" spans="1:9" x14ac:dyDescent="0.3">
      <c r="A5316" t="s">
        <v>10123</v>
      </c>
      <c r="B5316" t="s">
        <v>100</v>
      </c>
      <c r="C5316">
        <v>9406582649</v>
      </c>
      <c r="D5316" s="2">
        <v>1</v>
      </c>
      <c r="E5316" t="str">
        <f>"4574674200899375"</f>
        <v>4574674200899375</v>
      </c>
      <c r="F5316" t="str">
        <f>"744"</f>
        <v>744</v>
      </c>
      <c r="G5316">
        <v>1</v>
      </c>
      <c r="H5316">
        <v>2023</v>
      </c>
      <c r="I5316" t="s">
        <v>5431</v>
      </c>
    </row>
    <row r="5317" spans="1:9" x14ac:dyDescent="0.3">
      <c r="A5317" t="s">
        <v>10123</v>
      </c>
      <c r="B5317" t="s">
        <v>100</v>
      </c>
      <c r="C5317">
        <v>9406582649</v>
      </c>
      <c r="D5317" s="2">
        <v>1</v>
      </c>
      <c r="E5317" t="str">
        <f>"4574674200899433"</f>
        <v>4574674200899433</v>
      </c>
      <c r="F5317" t="str">
        <f>"701"</f>
        <v>701</v>
      </c>
      <c r="G5317">
        <v>1</v>
      </c>
      <c r="H5317">
        <v>2023</v>
      </c>
      <c r="I5317" t="s">
        <v>5432</v>
      </c>
    </row>
    <row r="5318" spans="1:9" x14ac:dyDescent="0.3">
      <c r="A5318" t="s">
        <v>10123</v>
      </c>
      <c r="B5318" t="s">
        <v>100</v>
      </c>
      <c r="C5318">
        <v>9406582649</v>
      </c>
      <c r="D5318" s="2">
        <v>1</v>
      </c>
      <c r="E5318" t="str">
        <f>"4574674200899441"</f>
        <v>4574674200899441</v>
      </c>
      <c r="F5318" t="str">
        <f>"687"</f>
        <v>687</v>
      </c>
      <c r="G5318">
        <v>1</v>
      </c>
      <c r="H5318">
        <v>2023</v>
      </c>
      <c r="I5318" t="s">
        <v>5433</v>
      </c>
    </row>
    <row r="5319" spans="1:9" x14ac:dyDescent="0.3">
      <c r="A5319" t="s">
        <v>10124</v>
      </c>
      <c r="B5319" t="s">
        <v>101</v>
      </c>
      <c r="C5319">
        <v>9406582649</v>
      </c>
      <c r="D5319" s="2">
        <v>1</v>
      </c>
      <c r="E5319" t="str">
        <f>"4574674200899458"</f>
        <v>4574674200899458</v>
      </c>
      <c r="F5319" t="str">
        <f>"648"</f>
        <v>648</v>
      </c>
      <c r="G5319">
        <v>1</v>
      </c>
      <c r="H5319">
        <v>2023</v>
      </c>
      <c r="I5319" t="s">
        <v>5434</v>
      </c>
    </row>
    <row r="5320" spans="1:9" x14ac:dyDescent="0.3">
      <c r="A5320" t="s">
        <v>10124</v>
      </c>
      <c r="B5320" t="s">
        <v>101</v>
      </c>
      <c r="C5320">
        <v>9406582649</v>
      </c>
      <c r="D5320" s="2">
        <v>1</v>
      </c>
      <c r="E5320" t="str">
        <f>"4574674200899466"</f>
        <v>4574674200899466</v>
      </c>
      <c r="F5320" t="str">
        <f>"868"</f>
        <v>868</v>
      </c>
      <c r="G5320">
        <v>1</v>
      </c>
      <c r="H5320">
        <v>2023</v>
      </c>
      <c r="I5320" t="s">
        <v>5435</v>
      </c>
    </row>
    <row r="5321" spans="1:9" x14ac:dyDescent="0.3">
      <c r="A5321" t="s">
        <v>10124</v>
      </c>
      <c r="B5321" t="s">
        <v>101</v>
      </c>
      <c r="C5321">
        <v>9406582649</v>
      </c>
      <c r="D5321" s="2">
        <v>1</v>
      </c>
      <c r="E5321" t="str">
        <f>"4574674200899623"</f>
        <v>4574674200899623</v>
      </c>
      <c r="F5321" t="str">
        <f>"598"</f>
        <v>598</v>
      </c>
      <c r="G5321">
        <v>1</v>
      </c>
      <c r="H5321">
        <v>2023</v>
      </c>
      <c r="I5321" t="s">
        <v>5436</v>
      </c>
    </row>
    <row r="5322" spans="1:9" x14ac:dyDescent="0.3">
      <c r="A5322" t="s">
        <v>10124</v>
      </c>
      <c r="B5322" t="s">
        <v>101</v>
      </c>
      <c r="C5322">
        <v>9406582649</v>
      </c>
      <c r="D5322" s="2">
        <v>1</v>
      </c>
      <c r="E5322" t="str">
        <f>"4574674200899680"</f>
        <v>4574674200899680</v>
      </c>
      <c r="F5322" t="str">
        <f>"308"</f>
        <v>308</v>
      </c>
      <c r="G5322">
        <v>1</v>
      </c>
      <c r="H5322">
        <v>2023</v>
      </c>
      <c r="I5322" t="s">
        <v>5437</v>
      </c>
    </row>
    <row r="5323" spans="1:9" x14ac:dyDescent="0.3">
      <c r="A5323" t="s">
        <v>10124</v>
      </c>
      <c r="B5323" t="s">
        <v>101</v>
      </c>
      <c r="C5323">
        <v>9406582649</v>
      </c>
      <c r="D5323" s="2">
        <v>1</v>
      </c>
      <c r="E5323" t="str">
        <f>"4574674200899516"</f>
        <v>4574674200899516</v>
      </c>
      <c r="F5323" t="str">
        <f>"755"</f>
        <v>755</v>
      </c>
      <c r="G5323">
        <v>1</v>
      </c>
      <c r="H5323">
        <v>2023</v>
      </c>
      <c r="I5323" t="s">
        <v>5438</v>
      </c>
    </row>
    <row r="5324" spans="1:9" x14ac:dyDescent="0.3">
      <c r="A5324" t="s">
        <v>10124</v>
      </c>
      <c r="B5324" t="s">
        <v>101</v>
      </c>
      <c r="C5324">
        <v>9406582649</v>
      </c>
      <c r="D5324" s="2">
        <v>1</v>
      </c>
      <c r="E5324" t="str">
        <f>"4574674200899565"</f>
        <v>4574674200899565</v>
      </c>
      <c r="F5324" t="str">
        <f>"292"</f>
        <v>292</v>
      </c>
      <c r="G5324">
        <v>1</v>
      </c>
      <c r="H5324">
        <v>2023</v>
      </c>
      <c r="I5324" t="s">
        <v>5439</v>
      </c>
    </row>
    <row r="5325" spans="1:9" x14ac:dyDescent="0.3">
      <c r="A5325" t="s">
        <v>10124</v>
      </c>
      <c r="B5325" t="s">
        <v>101</v>
      </c>
      <c r="C5325">
        <v>9406582649</v>
      </c>
      <c r="D5325" s="2">
        <v>1</v>
      </c>
      <c r="E5325" t="str">
        <f>"4574674200899557"</f>
        <v>4574674200899557</v>
      </c>
      <c r="F5325" t="str">
        <f>"983"</f>
        <v>983</v>
      </c>
      <c r="G5325">
        <v>1</v>
      </c>
      <c r="H5325">
        <v>2023</v>
      </c>
      <c r="I5325" t="s">
        <v>5440</v>
      </c>
    </row>
    <row r="5326" spans="1:9" x14ac:dyDescent="0.3">
      <c r="A5326" t="s">
        <v>10124</v>
      </c>
      <c r="B5326" t="s">
        <v>101</v>
      </c>
      <c r="C5326">
        <v>9406582649</v>
      </c>
      <c r="D5326" s="2">
        <v>1</v>
      </c>
      <c r="E5326" t="str">
        <f>"4574674200899573"</f>
        <v>4574674200899573</v>
      </c>
      <c r="F5326" t="str">
        <f>"702"</f>
        <v>702</v>
      </c>
      <c r="G5326">
        <v>1</v>
      </c>
      <c r="H5326">
        <v>2023</v>
      </c>
      <c r="I5326" t="s">
        <v>5441</v>
      </c>
    </row>
    <row r="5327" spans="1:9" x14ac:dyDescent="0.3">
      <c r="A5327" t="s">
        <v>10124</v>
      </c>
      <c r="B5327" t="s">
        <v>101</v>
      </c>
      <c r="C5327">
        <v>9406582649</v>
      </c>
      <c r="D5327" s="2">
        <v>1</v>
      </c>
      <c r="E5327" t="str">
        <f>"4574674200899805"</f>
        <v>4574674200899805</v>
      </c>
      <c r="F5327" t="str">
        <f>"648"</f>
        <v>648</v>
      </c>
      <c r="G5327">
        <v>1</v>
      </c>
      <c r="H5327">
        <v>2023</v>
      </c>
      <c r="I5327" t="s">
        <v>5442</v>
      </c>
    </row>
    <row r="5328" spans="1:9" x14ac:dyDescent="0.3">
      <c r="A5328" t="s">
        <v>10124</v>
      </c>
      <c r="B5328" t="s">
        <v>101</v>
      </c>
      <c r="C5328">
        <v>9406582649</v>
      </c>
      <c r="D5328" s="2">
        <v>1</v>
      </c>
      <c r="E5328" t="str">
        <f>"4574674200899730"</f>
        <v>4574674200899730</v>
      </c>
      <c r="F5328" t="str">
        <f>"301"</f>
        <v>301</v>
      </c>
      <c r="G5328">
        <v>1</v>
      </c>
      <c r="H5328">
        <v>2023</v>
      </c>
      <c r="I5328" t="s">
        <v>5443</v>
      </c>
    </row>
    <row r="5329" spans="1:9" x14ac:dyDescent="0.3">
      <c r="A5329" t="s">
        <v>10125</v>
      </c>
      <c r="B5329" t="s">
        <v>102</v>
      </c>
      <c r="C5329">
        <v>9406582649</v>
      </c>
      <c r="D5329" s="2">
        <v>1</v>
      </c>
      <c r="E5329" t="str">
        <f>"4574674200899797"</f>
        <v>4574674200899797</v>
      </c>
      <c r="F5329" t="str">
        <f>"580"</f>
        <v>580</v>
      </c>
      <c r="G5329">
        <v>1</v>
      </c>
      <c r="H5329">
        <v>2023</v>
      </c>
      <c r="I5329" t="s">
        <v>5444</v>
      </c>
    </row>
    <row r="5330" spans="1:9" x14ac:dyDescent="0.3">
      <c r="A5330" t="s">
        <v>10125</v>
      </c>
      <c r="B5330" t="s">
        <v>102</v>
      </c>
      <c r="C5330">
        <v>9406582649</v>
      </c>
      <c r="D5330" s="2">
        <v>1</v>
      </c>
      <c r="E5330" t="str">
        <f>"4574674200899854"</f>
        <v>4574674200899854</v>
      </c>
      <c r="F5330" t="str">
        <f>"318"</f>
        <v>318</v>
      </c>
      <c r="G5330">
        <v>1</v>
      </c>
      <c r="H5330">
        <v>2023</v>
      </c>
      <c r="I5330" t="s">
        <v>5445</v>
      </c>
    </row>
    <row r="5331" spans="1:9" x14ac:dyDescent="0.3">
      <c r="A5331" t="s">
        <v>10125</v>
      </c>
      <c r="B5331" t="s">
        <v>102</v>
      </c>
      <c r="C5331">
        <v>9406582649</v>
      </c>
      <c r="D5331" s="2">
        <v>1</v>
      </c>
      <c r="E5331" t="str">
        <f>"4574674200900074"</f>
        <v>4574674200900074</v>
      </c>
      <c r="F5331" t="str">
        <f>"882"</f>
        <v>882</v>
      </c>
      <c r="G5331">
        <v>1</v>
      </c>
      <c r="H5331">
        <v>2023</v>
      </c>
      <c r="I5331" t="s">
        <v>5446</v>
      </c>
    </row>
    <row r="5332" spans="1:9" x14ac:dyDescent="0.3">
      <c r="A5332" t="s">
        <v>10125</v>
      </c>
      <c r="B5332" t="s">
        <v>102</v>
      </c>
      <c r="C5332">
        <v>9406582649</v>
      </c>
      <c r="D5332" s="2">
        <v>1</v>
      </c>
      <c r="E5332" t="str">
        <f>"4574674200899888"</f>
        <v>4574674200899888</v>
      </c>
      <c r="F5332" t="str">
        <f>"749"</f>
        <v>749</v>
      </c>
      <c r="G5332">
        <v>1</v>
      </c>
      <c r="H5332">
        <v>2023</v>
      </c>
      <c r="I5332" t="s">
        <v>5447</v>
      </c>
    </row>
    <row r="5333" spans="1:9" x14ac:dyDescent="0.3">
      <c r="A5333" t="s">
        <v>10125</v>
      </c>
      <c r="B5333" t="s">
        <v>102</v>
      </c>
      <c r="C5333">
        <v>9406582649</v>
      </c>
      <c r="D5333" s="2">
        <v>1</v>
      </c>
      <c r="E5333" t="str">
        <f>"4574674200899920"</f>
        <v>4574674200899920</v>
      </c>
      <c r="F5333" t="str">
        <f>"303"</f>
        <v>303</v>
      </c>
      <c r="G5333">
        <v>1</v>
      </c>
      <c r="H5333">
        <v>2023</v>
      </c>
      <c r="I5333" t="s">
        <v>5448</v>
      </c>
    </row>
    <row r="5334" spans="1:9" x14ac:dyDescent="0.3">
      <c r="A5334" t="s">
        <v>10125</v>
      </c>
      <c r="B5334" t="s">
        <v>102</v>
      </c>
      <c r="C5334">
        <v>9406582649</v>
      </c>
      <c r="D5334" s="2">
        <v>1</v>
      </c>
      <c r="E5334" t="str">
        <f>"4574674200899961"</f>
        <v>4574674200899961</v>
      </c>
      <c r="F5334" t="str">
        <f>"415"</f>
        <v>415</v>
      </c>
      <c r="G5334">
        <v>1</v>
      </c>
      <c r="H5334">
        <v>2023</v>
      </c>
      <c r="I5334" t="s">
        <v>5449</v>
      </c>
    </row>
    <row r="5335" spans="1:9" x14ac:dyDescent="0.3">
      <c r="A5335" t="s">
        <v>10125</v>
      </c>
      <c r="B5335" t="s">
        <v>102</v>
      </c>
      <c r="C5335">
        <v>9406582649</v>
      </c>
      <c r="D5335" s="2">
        <v>1</v>
      </c>
      <c r="E5335" t="str">
        <f>"4574674200900116"</f>
        <v>4574674200900116</v>
      </c>
      <c r="F5335" t="str">
        <f>"093"</f>
        <v>093</v>
      </c>
      <c r="G5335">
        <v>1</v>
      </c>
      <c r="H5335">
        <v>2023</v>
      </c>
      <c r="I5335" t="s">
        <v>5450</v>
      </c>
    </row>
    <row r="5336" spans="1:9" x14ac:dyDescent="0.3">
      <c r="A5336" t="s">
        <v>10125</v>
      </c>
      <c r="B5336" t="s">
        <v>102</v>
      </c>
      <c r="C5336">
        <v>9406582649</v>
      </c>
      <c r="D5336" s="2">
        <v>1</v>
      </c>
      <c r="E5336" t="str">
        <f>"4574674200900199"</f>
        <v>4574674200900199</v>
      </c>
      <c r="F5336" t="str">
        <f>"506"</f>
        <v>506</v>
      </c>
      <c r="G5336">
        <v>1</v>
      </c>
      <c r="H5336">
        <v>2023</v>
      </c>
      <c r="I5336" t="s">
        <v>5451</v>
      </c>
    </row>
    <row r="5337" spans="1:9" x14ac:dyDescent="0.3">
      <c r="A5337" t="s">
        <v>10125</v>
      </c>
      <c r="B5337" t="s">
        <v>102</v>
      </c>
      <c r="C5337">
        <v>9406582649</v>
      </c>
      <c r="D5337" s="2">
        <v>1</v>
      </c>
      <c r="E5337" t="str">
        <f>"4574674200900223"</f>
        <v>4574674200900223</v>
      </c>
      <c r="F5337" t="str">
        <f>"702"</f>
        <v>702</v>
      </c>
      <c r="G5337">
        <v>1</v>
      </c>
      <c r="H5337">
        <v>2023</v>
      </c>
      <c r="I5337" t="s">
        <v>5452</v>
      </c>
    </row>
    <row r="5338" spans="1:9" x14ac:dyDescent="0.3">
      <c r="A5338" t="s">
        <v>10125</v>
      </c>
      <c r="B5338" t="s">
        <v>102</v>
      </c>
      <c r="C5338">
        <v>9406582649</v>
      </c>
      <c r="D5338" s="2">
        <v>1</v>
      </c>
      <c r="E5338" t="str">
        <f>"4574674200900306"</f>
        <v>4574674200900306</v>
      </c>
      <c r="F5338" t="str">
        <f>"674"</f>
        <v>674</v>
      </c>
      <c r="G5338">
        <v>1</v>
      </c>
      <c r="H5338">
        <v>2023</v>
      </c>
      <c r="I5338" t="s">
        <v>5453</v>
      </c>
    </row>
    <row r="5339" spans="1:9" x14ac:dyDescent="0.3">
      <c r="A5339" t="s">
        <v>10126</v>
      </c>
      <c r="B5339" t="s">
        <v>103</v>
      </c>
      <c r="C5339">
        <v>9406582649</v>
      </c>
      <c r="D5339" s="2">
        <v>1</v>
      </c>
      <c r="E5339" t="str">
        <f>"4574674200900314"</f>
        <v>4574674200900314</v>
      </c>
      <c r="F5339" t="str">
        <f>"413"</f>
        <v>413</v>
      </c>
      <c r="G5339">
        <v>1</v>
      </c>
      <c r="H5339">
        <v>2023</v>
      </c>
      <c r="I5339" t="s">
        <v>5454</v>
      </c>
    </row>
    <row r="5340" spans="1:9" x14ac:dyDescent="0.3">
      <c r="A5340" t="s">
        <v>10126</v>
      </c>
      <c r="B5340" t="s">
        <v>103</v>
      </c>
      <c r="C5340">
        <v>9406582649</v>
      </c>
      <c r="D5340" s="2">
        <v>1</v>
      </c>
      <c r="E5340" t="str">
        <f>"4574674200900348"</f>
        <v>4574674200900348</v>
      </c>
      <c r="F5340" t="str">
        <f>"796"</f>
        <v>796</v>
      </c>
      <c r="G5340">
        <v>1</v>
      </c>
      <c r="H5340">
        <v>2023</v>
      </c>
      <c r="I5340" t="s">
        <v>5455</v>
      </c>
    </row>
    <row r="5341" spans="1:9" x14ac:dyDescent="0.3">
      <c r="A5341" t="s">
        <v>10126</v>
      </c>
      <c r="B5341" t="s">
        <v>103</v>
      </c>
      <c r="C5341">
        <v>9406582649</v>
      </c>
      <c r="D5341" s="2">
        <v>1</v>
      </c>
      <c r="E5341" t="str">
        <f>"4574674200900447"</f>
        <v>4574674200900447</v>
      </c>
      <c r="F5341" t="str">
        <f>"071"</f>
        <v>071</v>
      </c>
      <c r="G5341">
        <v>1</v>
      </c>
      <c r="H5341">
        <v>2023</v>
      </c>
      <c r="I5341" t="s">
        <v>5456</v>
      </c>
    </row>
    <row r="5342" spans="1:9" x14ac:dyDescent="0.3">
      <c r="A5342" t="s">
        <v>10126</v>
      </c>
      <c r="B5342" t="s">
        <v>103</v>
      </c>
      <c r="C5342">
        <v>9406582649</v>
      </c>
      <c r="D5342" s="2">
        <v>1</v>
      </c>
      <c r="E5342" t="str">
        <f>"4574674200900470"</f>
        <v>4574674200900470</v>
      </c>
      <c r="F5342" t="str">
        <f>"191"</f>
        <v>191</v>
      </c>
      <c r="G5342">
        <v>1</v>
      </c>
      <c r="H5342">
        <v>2023</v>
      </c>
      <c r="I5342" t="s">
        <v>5457</v>
      </c>
    </row>
    <row r="5343" spans="1:9" x14ac:dyDescent="0.3">
      <c r="A5343" t="s">
        <v>10126</v>
      </c>
      <c r="B5343" t="s">
        <v>103</v>
      </c>
      <c r="C5343">
        <v>9406582649</v>
      </c>
      <c r="D5343" s="2">
        <v>1</v>
      </c>
      <c r="E5343" t="str">
        <f>"4574674200900603"</f>
        <v>4574674200900603</v>
      </c>
      <c r="F5343" t="str">
        <f>"415"</f>
        <v>415</v>
      </c>
      <c r="G5343">
        <v>1</v>
      </c>
      <c r="H5343">
        <v>2023</v>
      </c>
      <c r="I5343" t="s">
        <v>5458</v>
      </c>
    </row>
    <row r="5344" spans="1:9" x14ac:dyDescent="0.3">
      <c r="A5344" t="s">
        <v>10126</v>
      </c>
      <c r="B5344" t="s">
        <v>103</v>
      </c>
      <c r="C5344">
        <v>9406582649</v>
      </c>
      <c r="D5344" s="2">
        <v>1</v>
      </c>
      <c r="E5344" t="str">
        <f>"4574674200900645"</f>
        <v>4574674200900645</v>
      </c>
      <c r="F5344" t="str">
        <f>"203"</f>
        <v>203</v>
      </c>
      <c r="G5344">
        <v>1</v>
      </c>
      <c r="H5344">
        <v>2023</v>
      </c>
      <c r="I5344" t="s">
        <v>5459</v>
      </c>
    </row>
    <row r="5345" spans="1:9" x14ac:dyDescent="0.3">
      <c r="A5345" t="s">
        <v>10126</v>
      </c>
      <c r="B5345" t="s">
        <v>103</v>
      </c>
      <c r="C5345">
        <v>9406582649</v>
      </c>
      <c r="D5345" s="2">
        <v>1</v>
      </c>
      <c r="E5345" t="str">
        <f>"4574674200900660"</f>
        <v>4574674200900660</v>
      </c>
      <c r="F5345" t="str">
        <f>"038"</f>
        <v>038</v>
      </c>
      <c r="G5345">
        <v>1</v>
      </c>
      <c r="H5345">
        <v>2023</v>
      </c>
      <c r="I5345" t="s">
        <v>5460</v>
      </c>
    </row>
    <row r="5346" spans="1:9" x14ac:dyDescent="0.3">
      <c r="A5346" t="s">
        <v>10126</v>
      </c>
      <c r="B5346" t="s">
        <v>103</v>
      </c>
      <c r="C5346">
        <v>9406582649</v>
      </c>
      <c r="D5346" s="2">
        <v>1</v>
      </c>
      <c r="E5346" t="str">
        <f>"4574674200900694"</f>
        <v>4574674200900694</v>
      </c>
      <c r="F5346" t="str">
        <f>"917"</f>
        <v>917</v>
      </c>
      <c r="G5346">
        <v>1</v>
      </c>
      <c r="H5346">
        <v>2023</v>
      </c>
      <c r="I5346" t="s">
        <v>5461</v>
      </c>
    </row>
    <row r="5347" spans="1:9" x14ac:dyDescent="0.3">
      <c r="A5347" t="s">
        <v>10126</v>
      </c>
      <c r="B5347" t="s">
        <v>103</v>
      </c>
      <c r="C5347">
        <v>9406582649</v>
      </c>
      <c r="D5347" s="2">
        <v>1</v>
      </c>
      <c r="E5347" t="str">
        <f>"4574674200900710"</f>
        <v>4574674200900710</v>
      </c>
      <c r="F5347" t="str">
        <f>"567"</f>
        <v>567</v>
      </c>
      <c r="G5347">
        <v>1</v>
      </c>
      <c r="H5347">
        <v>2023</v>
      </c>
      <c r="I5347" t="s">
        <v>5462</v>
      </c>
    </row>
    <row r="5348" spans="1:9" x14ac:dyDescent="0.3">
      <c r="A5348" t="s">
        <v>10126</v>
      </c>
      <c r="B5348" t="s">
        <v>103</v>
      </c>
      <c r="C5348">
        <v>9406582649</v>
      </c>
      <c r="D5348" s="2">
        <v>1</v>
      </c>
      <c r="E5348" t="str">
        <f>"4574674200900546"</f>
        <v>4574674200900546</v>
      </c>
      <c r="F5348" t="str">
        <f>"364"</f>
        <v>364</v>
      </c>
      <c r="G5348">
        <v>1</v>
      </c>
      <c r="H5348">
        <v>2023</v>
      </c>
      <c r="I5348" t="s">
        <v>5463</v>
      </c>
    </row>
    <row r="5349" spans="1:9" x14ac:dyDescent="0.3">
      <c r="A5349" t="s">
        <v>10127</v>
      </c>
      <c r="B5349" t="s">
        <v>104</v>
      </c>
      <c r="C5349">
        <v>9406582649</v>
      </c>
      <c r="D5349" s="2">
        <v>1</v>
      </c>
      <c r="E5349" t="str">
        <f>"4574674200900801"</f>
        <v>4574674200900801</v>
      </c>
      <c r="F5349" t="str">
        <f>"013"</f>
        <v>013</v>
      </c>
      <c r="G5349">
        <v>1</v>
      </c>
      <c r="H5349">
        <v>2023</v>
      </c>
      <c r="I5349" t="s">
        <v>5464</v>
      </c>
    </row>
    <row r="5350" spans="1:9" x14ac:dyDescent="0.3">
      <c r="A5350" t="s">
        <v>10127</v>
      </c>
      <c r="B5350" t="s">
        <v>104</v>
      </c>
      <c r="C5350">
        <v>9406582649</v>
      </c>
      <c r="D5350" s="2">
        <v>1</v>
      </c>
      <c r="E5350" t="str">
        <f>"4574674200901437"</f>
        <v>4574674200901437</v>
      </c>
      <c r="F5350" t="str">
        <f>"421"</f>
        <v>421</v>
      </c>
      <c r="G5350">
        <v>1</v>
      </c>
      <c r="H5350">
        <v>2023</v>
      </c>
      <c r="I5350" t="s">
        <v>5465</v>
      </c>
    </row>
    <row r="5351" spans="1:9" x14ac:dyDescent="0.3">
      <c r="A5351" t="s">
        <v>10127</v>
      </c>
      <c r="B5351" t="s">
        <v>104</v>
      </c>
      <c r="C5351">
        <v>9406582649</v>
      </c>
      <c r="D5351" s="2">
        <v>1</v>
      </c>
      <c r="E5351" t="str">
        <f>"4574674200901247"</f>
        <v>4574674200901247</v>
      </c>
      <c r="F5351" t="str">
        <f>"849"</f>
        <v>849</v>
      </c>
      <c r="G5351">
        <v>1</v>
      </c>
      <c r="H5351">
        <v>2023</v>
      </c>
      <c r="I5351" t="s">
        <v>5466</v>
      </c>
    </row>
    <row r="5352" spans="1:9" x14ac:dyDescent="0.3">
      <c r="A5352" t="s">
        <v>10127</v>
      </c>
      <c r="B5352" t="s">
        <v>104</v>
      </c>
      <c r="C5352">
        <v>9406582649</v>
      </c>
      <c r="D5352" s="2">
        <v>1</v>
      </c>
      <c r="E5352" t="str">
        <f>"4574674200901270"</f>
        <v>4574674200901270</v>
      </c>
      <c r="F5352" t="str">
        <f>"970"</f>
        <v>970</v>
      </c>
      <c r="G5352">
        <v>1</v>
      </c>
      <c r="H5352">
        <v>2023</v>
      </c>
      <c r="I5352" t="s">
        <v>5467</v>
      </c>
    </row>
    <row r="5353" spans="1:9" x14ac:dyDescent="0.3">
      <c r="A5353" t="s">
        <v>10127</v>
      </c>
      <c r="B5353" t="s">
        <v>104</v>
      </c>
      <c r="C5353">
        <v>9406582649</v>
      </c>
      <c r="D5353" s="2">
        <v>1</v>
      </c>
      <c r="E5353" t="str">
        <f>"4574674200901452"</f>
        <v>4574674200901452</v>
      </c>
      <c r="F5353" t="str">
        <f>"387"</f>
        <v>387</v>
      </c>
      <c r="G5353">
        <v>1</v>
      </c>
      <c r="H5353">
        <v>2023</v>
      </c>
      <c r="I5353" t="s">
        <v>5468</v>
      </c>
    </row>
    <row r="5354" spans="1:9" x14ac:dyDescent="0.3">
      <c r="A5354" t="s">
        <v>10127</v>
      </c>
      <c r="B5354" t="s">
        <v>104</v>
      </c>
      <c r="C5354">
        <v>9406582649</v>
      </c>
      <c r="D5354" s="2">
        <v>1</v>
      </c>
      <c r="E5354" t="str">
        <f>"4574674200901379"</f>
        <v>4574674200901379</v>
      </c>
      <c r="F5354" t="str">
        <f>"616"</f>
        <v>616</v>
      </c>
      <c r="G5354">
        <v>1</v>
      </c>
      <c r="H5354">
        <v>2023</v>
      </c>
      <c r="I5354" t="s">
        <v>5469</v>
      </c>
    </row>
    <row r="5355" spans="1:9" x14ac:dyDescent="0.3">
      <c r="A5355" t="s">
        <v>10127</v>
      </c>
      <c r="B5355" t="s">
        <v>104</v>
      </c>
      <c r="C5355">
        <v>9406582649</v>
      </c>
      <c r="D5355" s="2">
        <v>1</v>
      </c>
      <c r="E5355" t="str">
        <f>"4574674200901601"</f>
        <v>4574674200901601</v>
      </c>
      <c r="F5355" t="str">
        <f>"189"</f>
        <v>189</v>
      </c>
      <c r="G5355">
        <v>1</v>
      </c>
      <c r="H5355">
        <v>2023</v>
      </c>
      <c r="I5355" t="s">
        <v>5470</v>
      </c>
    </row>
    <row r="5356" spans="1:9" x14ac:dyDescent="0.3">
      <c r="A5356" t="s">
        <v>10127</v>
      </c>
      <c r="B5356" t="s">
        <v>104</v>
      </c>
      <c r="C5356">
        <v>9406582649</v>
      </c>
      <c r="D5356" s="2">
        <v>1</v>
      </c>
      <c r="E5356" t="str">
        <f>"4574674200901650"</f>
        <v>4574674200901650</v>
      </c>
      <c r="F5356" t="str">
        <f>"899"</f>
        <v>899</v>
      </c>
      <c r="G5356">
        <v>1</v>
      </c>
      <c r="H5356">
        <v>2023</v>
      </c>
      <c r="I5356" t="s">
        <v>5471</v>
      </c>
    </row>
    <row r="5357" spans="1:9" x14ac:dyDescent="0.3">
      <c r="A5357" t="s">
        <v>10127</v>
      </c>
      <c r="B5357" t="s">
        <v>104</v>
      </c>
      <c r="C5357">
        <v>9406582649</v>
      </c>
      <c r="D5357" s="2">
        <v>1</v>
      </c>
      <c r="E5357" t="str">
        <f>"4574674200901692"</f>
        <v>4574674200901692</v>
      </c>
      <c r="F5357" t="str">
        <f>"954"</f>
        <v>954</v>
      </c>
      <c r="G5357">
        <v>1</v>
      </c>
      <c r="H5357">
        <v>2023</v>
      </c>
      <c r="I5357" t="s">
        <v>5472</v>
      </c>
    </row>
    <row r="5358" spans="1:9" x14ac:dyDescent="0.3">
      <c r="A5358" t="s">
        <v>10127</v>
      </c>
      <c r="B5358" t="s">
        <v>104</v>
      </c>
      <c r="C5358">
        <v>9406582649</v>
      </c>
      <c r="D5358" s="2">
        <v>1</v>
      </c>
      <c r="E5358" t="str">
        <f>"4574674200901668"</f>
        <v>4574674200901668</v>
      </c>
      <c r="F5358" t="str">
        <f>"055"</f>
        <v>055</v>
      </c>
      <c r="G5358">
        <v>1</v>
      </c>
      <c r="H5358">
        <v>2023</v>
      </c>
      <c r="I5358" t="s">
        <v>5473</v>
      </c>
    </row>
    <row r="5359" spans="1:9" x14ac:dyDescent="0.3">
      <c r="A5359" t="s">
        <v>10128</v>
      </c>
      <c r="B5359" t="s">
        <v>105</v>
      </c>
      <c r="C5359">
        <v>9406582649</v>
      </c>
      <c r="D5359" s="2">
        <v>1</v>
      </c>
      <c r="E5359" t="str">
        <f>"4574674200901734"</f>
        <v>4574674200901734</v>
      </c>
      <c r="F5359" t="str">
        <f>"770"</f>
        <v>770</v>
      </c>
      <c r="G5359">
        <v>1</v>
      </c>
      <c r="H5359">
        <v>2023</v>
      </c>
      <c r="I5359" t="s">
        <v>5474</v>
      </c>
    </row>
    <row r="5360" spans="1:9" x14ac:dyDescent="0.3">
      <c r="A5360" t="s">
        <v>10128</v>
      </c>
      <c r="B5360" t="s">
        <v>105</v>
      </c>
      <c r="C5360">
        <v>9406582649</v>
      </c>
      <c r="D5360" s="2">
        <v>1</v>
      </c>
      <c r="E5360" t="str">
        <f>"4574674200901544"</f>
        <v>4574674200901544</v>
      </c>
      <c r="F5360" t="str">
        <f>"530"</f>
        <v>530</v>
      </c>
      <c r="G5360">
        <v>1</v>
      </c>
      <c r="H5360">
        <v>2023</v>
      </c>
      <c r="I5360" t="s">
        <v>5475</v>
      </c>
    </row>
    <row r="5361" spans="1:9" x14ac:dyDescent="0.3">
      <c r="A5361" t="s">
        <v>10128</v>
      </c>
      <c r="B5361" t="s">
        <v>105</v>
      </c>
      <c r="C5361">
        <v>9406582649</v>
      </c>
      <c r="D5361" s="2">
        <v>1</v>
      </c>
      <c r="E5361" t="str">
        <f>"4574674200901775"</f>
        <v>4574674200901775</v>
      </c>
      <c r="F5361" t="str">
        <f>"898"</f>
        <v>898</v>
      </c>
      <c r="G5361">
        <v>1</v>
      </c>
      <c r="H5361">
        <v>2023</v>
      </c>
      <c r="I5361" t="s">
        <v>5476</v>
      </c>
    </row>
    <row r="5362" spans="1:9" x14ac:dyDescent="0.3">
      <c r="A5362" t="s">
        <v>10128</v>
      </c>
      <c r="B5362" t="s">
        <v>105</v>
      </c>
      <c r="C5362">
        <v>9406582649</v>
      </c>
      <c r="D5362" s="2">
        <v>1</v>
      </c>
      <c r="E5362" t="str">
        <f>"4574674200901593"</f>
        <v>4574674200901593</v>
      </c>
      <c r="F5362" t="str">
        <f>"292"</f>
        <v>292</v>
      </c>
      <c r="G5362">
        <v>1</v>
      </c>
      <c r="H5362">
        <v>2023</v>
      </c>
      <c r="I5362" t="s">
        <v>5477</v>
      </c>
    </row>
    <row r="5363" spans="1:9" x14ac:dyDescent="0.3">
      <c r="A5363" t="s">
        <v>10128</v>
      </c>
      <c r="B5363" t="s">
        <v>105</v>
      </c>
      <c r="C5363">
        <v>9406582649</v>
      </c>
      <c r="D5363" s="2">
        <v>1</v>
      </c>
      <c r="E5363" t="str">
        <f>"4574674200901791"</f>
        <v>4574674200901791</v>
      </c>
      <c r="F5363" t="str">
        <f>"465"</f>
        <v>465</v>
      </c>
      <c r="G5363">
        <v>1</v>
      </c>
      <c r="H5363">
        <v>2023</v>
      </c>
      <c r="I5363" t="s">
        <v>5478</v>
      </c>
    </row>
    <row r="5364" spans="1:9" x14ac:dyDescent="0.3">
      <c r="A5364" t="s">
        <v>10128</v>
      </c>
      <c r="B5364" t="s">
        <v>105</v>
      </c>
      <c r="C5364">
        <v>9406582649</v>
      </c>
      <c r="D5364" s="2">
        <v>1</v>
      </c>
      <c r="E5364" t="str">
        <f>"4574674200901817"</f>
        <v>4574674200901817</v>
      </c>
      <c r="F5364" t="str">
        <f>"588"</f>
        <v>588</v>
      </c>
      <c r="G5364">
        <v>1</v>
      </c>
      <c r="H5364">
        <v>2023</v>
      </c>
      <c r="I5364" t="s">
        <v>5479</v>
      </c>
    </row>
    <row r="5365" spans="1:9" x14ac:dyDescent="0.3">
      <c r="A5365" t="s">
        <v>10128</v>
      </c>
      <c r="B5365" t="s">
        <v>105</v>
      </c>
      <c r="C5365">
        <v>9406582649</v>
      </c>
      <c r="D5365" s="2">
        <v>1</v>
      </c>
      <c r="E5365" t="str">
        <f>"4574674200901858"</f>
        <v>4574674200901858</v>
      </c>
      <c r="F5365" t="str">
        <f>"595"</f>
        <v>595</v>
      </c>
      <c r="G5365">
        <v>1</v>
      </c>
      <c r="H5365">
        <v>2023</v>
      </c>
      <c r="I5365" t="s">
        <v>5480</v>
      </c>
    </row>
    <row r="5366" spans="1:9" x14ac:dyDescent="0.3">
      <c r="A5366" t="s">
        <v>10128</v>
      </c>
      <c r="B5366" t="s">
        <v>105</v>
      </c>
      <c r="C5366">
        <v>9406582649</v>
      </c>
      <c r="D5366" s="2">
        <v>1</v>
      </c>
      <c r="E5366" t="str">
        <f>"4574674200901866"</f>
        <v>4574674200901866</v>
      </c>
      <c r="F5366" t="str">
        <f>"158"</f>
        <v>158</v>
      </c>
      <c r="G5366">
        <v>1</v>
      </c>
      <c r="H5366">
        <v>2023</v>
      </c>
      <c r="I5366" t="s">
        <v>5481</v>
      </c>
    </row>
    <row r="5367" spans="1:9" x14ac:dyDescent="0.3">
      <c r="A5367" t="s">
        <v>10128</v>
      </c>
      <c r="B5367" t="s">
        <v>105</v>
      </c>
      <c r="C5367">
        <v>9406582649</v>
      </c>
      <c r="D5367" s="2">
        <v>1</v>
      </c>
      <c r="E5367" t="str">
        <f>"4574674200901908"</f>
        <v>4574674200901908</v>
      </c>
      <c r="F5367" t="str">
        <f>"357"</f>
        <v>357</v>
      </c>
      <c r="G5367">
        <v>1</v>
      </c>
      <c r="H5367">
        <v>2023</v>
      </c>
      <c r="I5367" t="s">
        <v>5482</v>
      </c>
    </row>
    <row r="5368" spans="1:9" x14ac:dyDescent="0.3">
      <c r="A5368" t="s">
        <v>10128</v>
      </c>
      <c r="B5368" t="s">
        <v>105</v>
      </c>
      <c r="C5368">
        <v>9406582649</v>
      </c>
      <c r="D5368" s="2">
        <v>1</v>
      </c>
      <c r="E5368" t="str">
        <f>"4574674200902047"</f>
        <v>4574674200902047</v>
      </c>
      <c r="F5368" t="str">
        <f>"748"</f>
        <v>748</v>
      </c>
      <c r="G5368">
        <v>1</v>
      </c>
      <c r="H5368">
        <v>2023</v>
      </c>
      <c r="I5368" t="s">
        <v>5483</v>
      </c>
    </row>
    <row r="5369" spans="1:9" x14ac:dyDescent="0.3">
      <c r="A5369" t="s">
        <v>10129</v>
      </c>
      <c r="B5369" t="s">
        <v>106</v>
      </c>
      <c r="C5369">
        <v>9406582649</v>
      </c>
      <c r="D5369" s="2">
        <v>1</v>
      </c>
      <c r="E5369" t="str">
        <f>"4574674200901924"</f>
        <v>4574674200901924</v>
      </c>
      <c r="F5369" t="str">
        <f>"773"</f>
        <v>773</v>
      </c>
      <c r="G5369">
        <v>1</v>
      </c>
      <c r="H5369">
        <v>2023</v>
      </c>
      <c r="I5369" t="s">
        <v>5484</v>
      </c>
    </row>
    <row r="5370" spans="1:9" x14ac:dyDescent="0.3">
      <c r="A5370" t="s">
        <v>10129</v>
      </c>
      <c r="B5370" t="s">
        <v>106</v>
      </c>
      <c r="C5370">
        <v>9406582649</v>
      </c>
      <c r="D5370" s="2">
        <v>1</v>
      </c>
      <c r="E5370" t="str">
        <f>"4574674200901932"</f>
        <v>4574674200901932</v>
      </c>
      <c r="F5370" t="str">
        <f>"278"</f>
        <v>278</v>
      </c>
      <c r="G5370">
        <v>1</v>
      </c>
      <c r="H5370">
        <v>2023</v>
      </c>
      <c r="I5370" t="s">
        <v>5485</v>
      </c>
    </row>
    <row r="5371" spans="1:9" x14ac:dyDescent="0.3">
      <c r="A5371" t="s">
        <v>10129</v>
      </c>
      <c r="B5371" t="s">
        <v>106</v>
      </c>
      <c r="C5371">
        <v>9406582649</v>
      </c>
      <c r="D5371" s="2">
        <v>1</v>
      </c>
      <c r="E5371" t="str">
        <f>"4574674200902229"</f>
        <v>4574674200902229</v>
      </c>
      <c r="F5371" t="str">
        <f>"951"</f>
        <v>951</v>
      </c>
      <c r="G5371">
        <v>1</v>
      </c>
      <c r="H5371">
        <v>2023</v>
      </c>
      <c r="I5371" t="s">
        <v>5486</v>
      </c>
    </row>
    <row r="5372" spans="1:9" x14ac:dyDescent="0.3">
      <c r="A5372" t="s">
        <v>10129</v>
      </c>
      <c r="B5372" t="s">
        <v>106</v>
      </c>
      <c r="C5372">
        <v>9406582649</v>
      </c>
      <c r="D5372" s="2">
        <v>1</v>
      </c>
      <c r="E5372" t="str">
        <f>"4574674200902070"</f>
        <v>4574674200902070</v>
      </c>
      <c r="F5372" t="str">
        <f>"617"</f>
        <v>617</v>
      </c>
      <c r="G5372">
        <v>1</v>
      </c>
      <c r="H5372">
        <v>2023</v>
      </c>
      <c r="I5372" t="s">
        <v>5487</v>
      </c>
    </row>
    <row r="5373" spans="1:9" x14ac:dyDescent="0.3">
      <c r="A5373" t="s">
        <v>10129</v>
      </c>
      <c r="B5373" t="s">
        <v>106</v>
      </c>
      <c r="C5373">
        <v>9406582649</v>
      </c>
      <c r="D5373" s="2">
        <v>1</v>
      </c>
      <c r="E5373" t="str">
        <f>"4574674200902245"</f>
        <v>4574674200902245</v>
      </c>
      <c r="F5373" t="str">
        <f>"757"</f>
        <v>757</v>
      </c>
      <c r="G5373">
        <v>1</v>
      </c>
      <c r="H5373">
        <v>2023</v>
      </c>
      <c r="I5373" t="s">
        <v>5488</v>
      </c>
    </row>
    <row r="5374" spans="1:9" x14ac:dyDescent="0.3">
      <c r="A5374" t="s">
        <v>10129</v>
      </c>
      <c r="B5374" t="s">
        <v>106</v>
      </c>
      <c r="C5374">
        <v>9406582649</v>
      </c>
      <c r="D5374" s="2">
        <v>1</v>
      </c>
      <c r="E5374" t="str">
        <f>"4574674200902260"</f>
        <v>4574674200902260</v>
      </c>
      <c r="F5374" t="str">
        <f>"190"</f>
        <v>190</v>
      </c>
      <c r="G5374">
        <v>1</v>
      </c>
      <c r="H5374">
        <v>2023</v>
      </c>
      <c r="I5374" t="s">
        <v>5489</v>
      </c>
    </row>
    <row r="5375" spans="1:9" x14ac:dyDescent="0.3">
      <c r="A5375" t="s">
        <v>10129</v>
      </c>
      <c r="B5375" t="s">
        <v>106</v>
      </c>
      <c r="C5375">
        <v>9406582649</v>
      </c>
      <c r="D5375" s="2">
        <v>1</v>
      </c>
      <c r="E5375" t="str">
        <f>"4574674200902153"</f>
        <v>4574674200902153</v>
      </c>
      <c r="F5375" t="str">
        <f>"438"</f>
        <v>438</v>
      </c>
      <c r="G5375">
        <v>1</v>
      </c>
      <c r="H5375">
        <v>2023</v>
      </c>
      <c r="I5375" t="s">
        <v>5490</v>
      </c>
    </row>
    <row r="5376" spans="1:9" x14ac:dyDescent="0.3">
      <c r="A5376" t="s">
        <v>10129</v>
      </c>
      <c r="B5376" t="s">
        <v>106</v>
      </c>
      <c r="C5376">
        <v>9406582649</v>
      </c>
      <c r="D5376" s="2">
        <v>1</v>
      </c>
      <c r="E5376" t="str">
        <f>"4574674200902278"</f>
        <v>4574674200902278</v>
      </c>
      <c r="F5376" t="str">
        <f>"515"</f>
        <v>515</v>
      </c>
      <c r="G5376">
        <v>1</v>
      </c>
      <c r="H5376">
        <v>2023</v>
      </c>
      <c r="I5376" t="s">
        <v>5491</v>
      </c>
    </row>
    <row r="5377" spans="1:9" x14ac:dyDescent="0.3">
      <c r="A5377" t="s">
        <v>10129</v>
      </c>
      <c r="B5377" t="s">
        <v>106</v>
      </c>
      <c r="C5377">
        <v>9406582649</v>
      </c>
      <c r="D5377" s="2">
        <v>1</v>
      </c>
      <c r="E5377" t="str">
        <f>"4574674200902302"</f>
        <v>4574674200902302</v>
      </c>
      <c r="F5377" t="str">
        <f>"796"</f>
        <v>796</v>
      </c>
      <c r="G5377">
        <v>1</v>
      </c>
      <c r="H5377">
        <v>2023</v>
      </c>
      <c r="I5377" t="s">
        <v>5492</v>
      </c>
    </row>
    <row r="5378" spans="1:9" x14ac:dyDescent="0.3">
      <c r="A5378" t="s">
        <v>10129</v>
      </c>
      <c r="B5378" t="s">
        <v>106</v>
      </c>
      <c r="C5378">
        <v>9406582649</v>
      </c>
      <c r="D5378" s="2">
        <v>1</v>
      </c>
      <c r="E5378" t="str">
        <f>"4574674200902385"</f>
        <v>4574674200902385</v>
      </c>
      <c r="F5378" t="str">
        <f>"064"</f>
        <v>064</v>
      </c>
      <c r="G5378">
        <v>1</v>
      </c>
      <c r="H5378">
        <v>2023</v>
      </c>
      <c r="I5378" t="s">
        <v>5493</v>
      </c>
    </row>
    <row r="5379" spans="1:9" x14ac:dyDescent="0.3">
      <c r="A5379" t="s">
        <v>10130</v>
      </c>
      <c r="B5379" t="s">
        <v>107</v>
      </c>
      <c r="C5379">
        <v>9406582649</v>
      </c>
      <c r="D5379" s="2">
        <v>1</v>
      </c>
      <c r="E5379" t="str">
        <f>"4574674200902393"</f>
        <v>4574674200902393</v>
      </c>
      <c r="F5379" t="str">
        <f>"487"</f>
        <v>487</v>
      </c>
      <c r="G5379">
        <v>1</v>
      </c>
      <c r="H5379">
        <v>2023</v>
      </c>
      <c r="I5379" t="s">
        <v>5494</v>
      </c>
    </row>
    <row r="5380" spans="1:9" x14ac:dyDescent="0.3">
      <c r="A5380" t="s">
        <v>10130</v>
      </c>
      <c r="B5380" t="s">
        <v>107</v>
      </c>
      <c r="C5380">
        <v>9406582649</v>
      </c>
      <c r="D5380" s="2">
        <v>1</v>
      </c>
      <c r="E5380" t="str">
        <f>"4574674200902617"</f>
        <v>4574674200902617</v>
      </c>
      <c r="F5380" t="str">
        <f>"625"</f>
        <v>625</v>
      </c>
      <c r="G5380">
        <v>1</v>
      </c>
      <c r="H5380">
        <v>2023</v>
      </c>
      <c r="I5380" t="s">
        <v>5495</v>
      </c>
    </row>
    <row r="5381" spans="1:9" x14ac:dyDescent="0.3">
      <c r="A5381" t="s">
        <v>10130</v>
      </c>
      <c r="B5381" t="s">
        <v>107</v>
      </c>
      <c r="C5381">
        <v>9406582649</v>
      </c>
      <c r="D5381" s="2">
        <v>1</v>
      </c>
      <c r="E5381" t="str">
        <f>"4574674200902641"</f>
        <v>4574674200902641</v>
      </c>
      <c r="F5381" t="str">
        <f>"776"</f>
        <v>776</v>
      </c>
      <c r="G5381">
        <v>1</v>
      </c>
      <c r="H5381">
        <v>2023</v>
      </c>
      <c r="I5381" t="s">
        <v>5496</v>
      </c>
    </row>
    <row r="5382" spans="1:9" x14ac:dyDescent="0.3">
      <c r="A5382" t="s">
        <v>10130</v>
      </c>
      <c r="B5382" t="s">
        <v>107</v>
      </c>
      <c r="C5382">
        <v>9406582649</v>
      </c>
      <c r="D5382" s="2">
        <v>1</v>
      </c>
      <c r="E5382" t="str">
        <f>"4574674200902419"</f>
        <v>4574674200902419</v>
      </c>
      <c r="F5382" t="str">
        <f>"108"</f>
        <v>108</v>
      </c>
      <c r="G5382">
        <v>1</v>
      </c>
      <c r="H5382">
        <v>2023</v>
      </c>
      <c r="I5382" t="s">
        <v>5497</v>
      </c>
    </row>
    <row r="5383" spans="1:9" x14ac:dyDescent="0.3">
      <c r="A5383" t="s">
        <v>10130</v>
      </c>
      <c r="B5383" t="s">
        <v>107</v>
      </c>
      <c r="C5383">
        <v>9406582649</v>
      </c>
      <c r="D5383" s="2">
        <v>1</v>
      </c>
      <c r="E5383" t="str">
        <f>"4574674200902427"</f>
        <v>4574674200902427</v>
      </c>
      <c r="F5383" t="str">
        <f>"991"</f>
        <v>991</v>
      </c>
      <c r="G5383">
        <v>1</v>
      </c>
      <c r="H5383">
        <v>2023</v>
      </c>
      <c r="I5383" t="s">
        <v>5498</v>
      </c>
    </row>
    <row r="5384" spans="1:9" x14ac:dyDescent="0.3">
      <c r="A5384" t="s">
        <v>10130</v>
      </c>
      <c r="B5384" t="s">
        <v>107</v>
      </c>
      <c r="C5384">
        <v>9406582649</v>
      </c>
      <c r="D5384" s="2">
        <v>1</v>
      </c>
      <c r="E5384" t="str">
        <f>"4574674200902443"</f>
        <v>4574674200902443</v>
      </c>
      <c r="F5384" t="str">
        <f>"325"</f>
        <v>325</v>
      </c>
      <c r="G5384">
        <v>1</v>
      </c>
      <c r="H5384">
        <v>2023</v>
      </c>
      <c r="I5384" t="s">
        <v>5499</v>
      </c>
    </row>
    <row r="5385" spans="1:9" x14ac:dyDescent="0.3">
      <c r="A5385" t="s">
        <v>10130</v>
      </c>
      <c r="B5385" t="s">
        <v>107</v>
      </c>
      <c r="C5385">
        <v>9406582649</v>
      </c>
      <c r="D5385" s="2">
        <v>1</v>
      </c>
      <c r="E5385" t="str">
        <f>"4574674200902526"</f>
        <v>4574674200902526</v>
      </c>
      <c r="F5385" t="str">
        <f>"673"</f>
        <v>673</v>
      </c>
      <c r="G5385">
        <v>1</v>
      </c>
      <c r="H5385">
        <v>2023</v>
      </c>
      <c r="I5385" t="s">
        <v>5500</v>
      </c>
    </row>
    <row r="5386" spans="1:9" x14ac:dyDescent="0.3">
      <c r="A5386" t="s">
        <v>10130</v>
      </c>
      <c r="B5386" t="s">
        <v>107</v>
      </c>
      <c r="C5386">
        <v>9406582649</v>
      </c>
      <c r="D5386" s="2">
        <v>1</v>
      </c>
      <c r="E5386" t="str">
        <f>"4574674200902559"</f>
        <v>4574674200902559</v>
      </c>
      <c r="F5386" t="str">
        <f>"019"</f>
        <v>019</v>
      </c>
      <c r="G5386">
        <v>1</v>
      </c>
      <c r="H5386">
        <v>2023</v>
      </c>
      <c r="I5386" t="s">
        <v>5501</v>
      </c>
    </row>
    <row r="5387" spans="1:9" x14ac:dyDescent="0.3">
      <c r="A5387" t="s">
        <v>10130</v>
      </c>
      <c r="B5387" t="s">
        <v>107</v>
      </c>
      <c r="C5387">
        <v>9406582649</v>
      </c>
      <c r="D5387" s="2">
        <v>1</v>
      </c>
      <c r="E5387" t="str">
        <f>"4574674200902716"</f>
        <v>4574674200902716</v>
      </c>
      <c r="F5387" t="str">
        <f>"805"</f>
        <v>805</v>
      </c>
      <c r="G5387">
        <v>1</v>
      </c>
      <c r="H5387">
        <v>2023</v>
      </c>
      <c r="I5387" t="s">
        <v>5502</v>
      </c>
    </row>
    <row r="5388" spans="1:9" x14ac:dyDescent="0.3">
      <c r="A5388" t="s">
        <v>10130</v>
      </c>
      <c r="B5388" t="s">
        <v>107</v>
      </c>
      <c r="C5388">
        <v>9406582649</v>
      </c>
      <c r="D5388" s="2">
        <v>1</v>
      </c>
      <c r="E5388" t="str">
        <f>"4574674200902583"</f>
        <v>4574674200902583</v>
      </c>
      <c r="F5388" t="str">
        <f>"956"</f>
        <v>956</v>
      </c>
      <c r="G5388">
        <v>1</v>
      </c>
      <c r="H5388">
        <v>2023</v>
      </c>
      <c r="I5388" t="s">
        <v>5503</v>
      </c>
    </row>
    <row r="5389" spans="1:9" x14ac:dyDescent="0.3">
      <c r="A5389" t="s">
        <v>10131</v>
      </c>
      <c r="B5389" t="s">
        <v>108</v>
      </c>
      <c r="C5389">
        <v>9406582649</v>
      </c>
      <c r="D5389" s="2">
        <v>1</v>
      </c>
      <c r="E5389" t="str">
        <f>"4574674200902849"</f>
        <v>4574674200902849</v>
      </c>
      <c r="F5389" t="str">
        <f>"642"</f>
        <v>642</v>
      </c>
      <c r="G5389">
        <v>1</v>
      </c>
      <c r="H5389">
        <v>2023</v>
      </c>
      <c r="I5389" t="s">
        <v>5504</v>
      </c>
    </row>
    <row r="5390" spans="1:9" x14ac:dyDescent="0.3">
      <c r="A5390" t="s">
        <v>10131</v>
      </c>
      <c r="B5390" t="s">
        <v>108</v>
      </c>
      <c r="C5390">
        <v>9406582649</v>
      </c>
      <c r="D5390" s="2">
        <v>1</v>
      </c>
      <c r="E5390" t="str">
        <f>"4574674200902831"</f>
        <v>4574674200902831</v>
      </c>
      <c r="F5390" t="str">
        <f>"688"</f>
        <v>688</v>
      </c>
      <c r="G5390">
        <v>1</v>
      </c>
      <c r="H5390">
        <v>2023</v>
      </c>
      <c r="I5390" t="s">
        <v>5505</v>
      </c>
    </row>
    <row r="5391" spans="1:9" x14ac:dyDescent="0.3">
      <c r="A5391" t="s">
        <v>10131</v>
      </c>
      <c r="B5391" t="s">
        <v>108</v>
      </c>
      <c r="C5391">
        <v>9406582649</v>
      </c>
      <c r="D5391" s="2">
        <v>1</v>
      </c>
      <c r="E5391" t="str">
        <f>"4574674200902880"</f>
        <v>4574674200902880</v>
      </c>
      <c r="F5391" t="str">
        <f>"543"</f>
        <v>543</v>
      </c>
      <c r="G5391">
        <v>1</v>
      </c>
      <c r="H5391">
        <v>2023</v>
      </c>
      <c r="I5391" t="s">
        <v>5506</v>
      </c>
    </row>
    <row r="5392" spans="1:9" x14ac:dyDescent="0.3">
      <c r="A5392" t="s">
        <v>10131</v>
      </c>
      <c r="B5392" t="s">
        <v>108</v>
      </c>
      <c r="C5392">
        <v>9406582649</v>
      </c>
      <c r="D5392" s="2">
        <v>1</v>
      </c>
      <c r="E5392" t="str">
        <f>"4574674200902765"</f>
        <v>4574674200902765</v>
      </c>
      <c r="F5392" t="str">
        <f>"646"</f>
        <v>646</v>
      </c>
      <c r="G5392">
        <v>1</v>
      </c>
      <c r="H5392">
        <v>2023</v>
      </c>
      <c r="I5392" t="s">
        <v>5507</v>
      </c>
    </row>
    <row r="5393" spans="1:9" x14ac:dyDescent="0.3">
      <c r="A5393" t="s">
        <v>10131</v>
      </c>
      <c r="B5393" t="s">
        <v>108</v>
      </c>
      <c r="C5393">
        <v>9406582649</v>
      </c>
      <c r="D5393" s="2">
        <v>1</v>
      </c>
      <c r="E5393" t="str">
        <f>"4574674200902922"</f>
        <v>4574674200902922</v>
      </c>
      <c r="F5393" t="str">
        <f>"059"</f>
        <v>059</v>
      </c>
      <c r="G5393">
        <v>1</v>
      </c>
      <c r="H5393">
        <v>2023</v>
      </c>
      <c r="I5393" t="s">
        <v>5508</v>
      </c>
    </row>
    <row r="5394" spans="1:9" x14ac:dyDescent="0.3">
      <c r="A5394" t="s">
        <v>10131</v>
      </c>
      <c r="B5394" t="s">
        <v>108</v>
      </c>
      <c r="C5394">
        <v>9406582649</v>
      </c>
      <c r="D5394" s="2">
        <v>1</v>
      </c>
      <c r="E5394" t="str">
        <f>"4574674200902971"</f>
        <v>4574674200902971</v>
      </c>
      <c r="F5394" t="str">
        <f>"196"</f>
        <v>196</v>
      </c>
      <c r="G5394">
        <v>1</v>
      </c>
      <c r="H5394">
        <v>2023</v>
      </c>
      <c r="I5394" t="s">
        <v>5509</v>
      </c>
    </row>
    <row r="5395" spans="1:9" x14ac:dyDescent="0.3">
      <c r="A5395" t="s">
        <v>10131</v>
      </c>
      <c r="B5395" t="s">
        <v>108</v>
      </c>
      <c r="C5395">
        <v>9406582649</v>
      </c>
      <c r="D5395" s="2">
        <v>1</v>
      </c>
      <c r="E5395" t="str">
        <f>"4574674200903037"</f>
        <v>4574674200903037</v>
      </c>
      <c r="F5395" t="str">
        <f>"861"</f>
        <v>861</v>
      </c>
      <c r="G5395">
        <v>1</v>
      </c>
      <c r="H5395">
        <v>2023</v>
      </c>
      <c r="I5395" t="s">
        <v>5510</v>
      </c>
    </row>
    <row r="5396" spans="1:9" x14ac:dyDescent="0.3">
      <c r="A5396" t="s">
        <v>10131</v>
      </c>
      <c r="B5396" t="s">
        <v>108</v>
      </c>
      <c r="C5396">
        <v>9406582649</v>
      </c>
      <c r="D5396" s="2">
        <v>1</v>
      </c>
      <c r="E5396" t="str">
        <f>"4574674200903227"</f>
        <v>4574674200903227</v>
      </c>
      <c r="F5396" t="str">
        <f>"483"</f>
        <v>483</v>
      </c>
      <c r="G5396">
        <v>1</v>
      </c>
      <c r="H5396">
        <v>2023</v>
      </c>
      <c r="I5396" t="s">
        <v>5511</v>
      </c>
    </row>
    <row r="5397" spans="1:9" x14ac:dyDescent="0.3">
      <c r="A5397" t="s">
        <v>10131</v>
      </c>
      <c r="B5397" t="s">
        <v>108</v>
      </c>
      <c r="C5397">
        <v>9406582649</v>
      </c>
      <c r="D5397" s="2">
        <v>1</v>
      </c>
      <c r="E5397" t="str">
        <f>"4574674200903219"</f>
        <v>4574674200903219</v>
      </c>
      <c r="F5397" t="str">
        <f>"702"</f>
        <v>702</v>
      </c>
      <c r="G5397">
        <v>1</v>
      </c>
      <c r="H5397">
        <v>2023</v>
      </c>
      <c r="I5397" t="s">
        <v>5512</v>
      </c>
    </row>
    <row r="5398" spans="1:9" x14ac:dyDescent="0.3">
      <c r="A5398" t="s">
        <v>10131</v>
      </c>
      <c r="B5398" t="s">
        <v>108</v>
      </c>
      <c r="C5398">
        <v>9406582649</v>
      </c>
      <c r="D5398" s="2">
        <v>1</v>
      </c>
      <c r="E5398" t="str">
        <f>"4574674200903235"</f>
        <v>4574674200903235</v>
      </c>
      <c r="F5398" t="str">
        <f>"039"</f>
        <v>039</v>
      </c>
      <c r="G5398">
        <v>1</v>
      </c>
      <c r="H5398">
        <v>2023</v>
      </c>
      <c r="I5398" t="s">
        <v>5513</v>
      </c>
    </row>
    <row r="5399" spans="1:9" x14ac:dyDescent="0.3">
      <c r="A5399" t="s">
        <v>10132</v>
      </c>
      <c r="B5399" t="s">
        <v>109</v>
      </c>
      <c r="C5399">
        <v>9406582649</v>
      </c>
      <c r="D5399" s="2">
        <v>1</v>
      </c>
      <c r="E5399" t="str">
        <f>"4574674200903292"</f>
        <v>4574674200903292</v>
      </c>
      <c r="F5399" t="str">
        <f>"001"</f>
        <v>001</v>
      </c>
      <c r="G5399">
        <v>1</v>
      </c>
      <c r="H5399">
        <v>2023</v>
      </c>
      <c r="I5399" t="s">
        <v>5514</v>
      </c>
    </row>
    <row r="5400" spans="1:9" x14ac:dyDescent="0.3">
      <c r="A5400" t="s">
        <v>10132</v>
      </c>
      <c r="B5400" t="s">
        <v>109</v>
      </c>
      <c r="C5400">
        <v>9406582649</v>
      </c>
      <c r="D5400" s="2">
        <v>1</v>
      </c>
      <c r="E5400" t="str">
        <f>"4574674200903326"</f>
        <v>4574674200903326</v>
      </c>
      <c r="F5400" t="str">
        <f>"897"</f>
        <v>897</v>
      </c>
      <c r="G5400">
        <v>1</v>
      </c>
      <c r="H5400">
        <v>2023</v>
      </c>
      <c r="I5400" t="s">
        <v>5515</v>
      </c>
    </row>
    <row r="5401" spans="1:9" x14ac:dyDescent="0.3">
      <c r="A5401" t="s">
        <v>10132</v>
      </c>
      <c r="B5401" t="s">
        <v>109</v>
      </c>
      <c r="C5401">
        <v>9406582649</v>
      </c>
      <c r="D5401" s="2">
        <v>1</v>
      </c>
      <c r="E5401" t="str">
        <f>"4574674200903342"</f>
        <v>4574674200903342</v>
      </c>
      <c r="F5401" t="str">
        <f>"065"</f>
        <v>065</v>
      </c>
      <c r="G5401">
        <v>1</v>
      </c>
      <c r="H5401">
        <v>2023</v>
      </c>
      <c r="I5401" t="s">
        <v>5516</v>
      </c>
    </row>
    <row r="5402" spans="1:9" x14ac:dyDescent="0.3">
      <c r="A5402" t="s">
        <v>10132</v>
      </c>
      <c r="B5402" t="s">
        <v>109</v>
      </c>
      <c r="C5402">
        <v>9406582649</v>
      </c>
      <c r="D5402" s="2">
        <v>1</v>
      </c>
      <c r="E5402" t="str">
        <f>"4574674200903367"</f>
        <v>4574674200903367</v>
      </c>
      <c r="F5402" t="str">
        <f>"281"</f>
        <v>281</v>
      </c>
      <c r="G5402">
        <v>1</v>
      </c>
      <c r="H5402">
        <v>2023</v>
      </c>
      <c r="I5402" t="s">
        <v>5517</v>
      </c>
    </row>
    <row r="5403" spans="1:9" x14ac:dyDescent="0.3">
      <c r="A5403" t="s">
        <v>10132</v>
      </c>
      <c r="B5403" t="s">
        <v>109</v>
      </c>
      <c r="C5403">
        <v>9406582649</v>
      </c>
      <c r="D5403" s="2">
        <v>1</v>
      </c>
      <c r="E5403" t="str">
        <f>"4574674200903052"</f>
        <v>4574674200903052</v>
      </c>
      <c r="F5403" t="str">
        <f>"879"</f>
        <v>879</v>
      </c>
      <c r="G5403">
        <v>1</v>
      </c>
      <c r="H5403">
        <v>2023</v>
      </c>
      <c r="I5403" t="s">
        <v>5518</v>
      </c>
    </row>
    <row r="5404" spans="1:9" x14ac:dyDescent="0.3">
      <c r="A5404" t="s">
        <v>10132</v>
      </c>
      <c r="B5404" t="s">
        <v>109</v>
      </c>
      <c r="C5404">
        <v>9406582649</v>
      </c>
      <c r="D5404" s="2">
        <v>1</v>
      </c>
      <c r="E5404" t="str">
        <f>"4574674200903417"</f>
        <v>4574674200903417</v>
      </c>
      <c r="F5404" t="str">
        <f>"187"</f>
        <v>187</v>
      </c>
      <c r="G5404">
        <v>1</v>
      </c>
      <c r="H5404">
        <v>2023</v>
      </c>
      <c r="I5404" t="s">
        <v>5519</v>
      </c>
    </row>
    <row r="5405" spans="1:9" x14ac:dyDescent="0.3">
      <c r="A5405" t="s">
        <v>10132</v>
      </c>
      <c r="B5405" t="s">
        <v>109</v>
      </c>
      <c r="C5405">
        <v>9406582649</v>
      </c>
      <c r="D5405" s="2">
        <v>1</v>
      </c>
      <c r="E5405" t="str">
        <f>"4574674200903110"</f>
        <v>4574674200903110</v>
      </c>
      <c r="F5405" t="str">
        <f>"990"</f>
        <v>990</v>
      </c>
      <c r="G5405">
        <v>1</v>
      </c>
      <c r="H5405">
        <v>2023</v>
      </c>
      <c r="I5405" t="s">
        <v>5520</v>
      </c>
    </row>
    <row r="5406" spans="1:9" x14ac:dyDescent="0.3">
      <c r="A5406" t="s">
        <v>10132</v>
      </c>
      <c r="B5406" t="s">
        <v>109</v>
      </c>
      <c r="C5406">
        <v>9406582649</v>
      </c>
      <c r="D5406" s="2">
        <v>1</v>
      </c>
      <c r="E5406" t="str">
        <f>"4574674200903433"</f>
        <v>4574674200903433</v>
      </c>
      <c r="F5406" t="str">
        <f>"266"</f>
        <v>266</v>
      </c>
      <c r="G5406">
        <v>1</v>
      </c>
      <c r="H5406">
        <v>2023</v>
      </c>
      <c r="I5406" t="s">
        <v>5521</v>
      </c>
    </row>
    <row r="5407" spans="1:9" x14ac:dyDescent="0.3">
      <c r="A5407" t="s">
        <v>10132</v>
      </c>
      <c r="B5407" t="s">
        <v>109</v>
      </c>
      <c r="C5407">
        <v>9406582649</v>
      </c>
      <c r="D5407" s="2">
        <v>1</v>
      </c>
      <c r="E5407" t="str">
        <f>"4574674200903490"</f>
        <v>4574674200903490</v>
      </c>
      <c r="F5407" t="str">
        <f>"843"</f>
        <v>843</v>
      </c>
      <c r="G5407">
        <v>1</v>
      </c>
      <c r="H5407">
        <v>2023</v>
      </c>
      <c r="I5407" t="s">
        <v>5522</v>
      </c>
    </row>
    <row r="5408" spans="1:9" x14ac:dyDescent="0.3">
      <c r="A5408" t="s">
        <v>10132</v>
      </c>
      <c r="B5408" t="s">
        <v>109</v>
      </c>
      <c r="C5408">
        <v>9406582649</v>
      </c>
      <c r="D5408" s="2">
        <v>1</v>
      </c>
      <c r="E5408" t="str">
        <f>"4574674200903532"</f>
        <v>4574674200903532</v>
      </c>
      <c r="F5408" t="str">
        <f>"393"</f>
        <v>393</v>
      </c>
      <c r="G5408">
        <v>1</v>
      </c>
      <c r="H5408">
        <v>2023</v>
      </c>
      <c r="I5408" t="s">
        <v>5523</v>
      </c>
    </row>
    <row r="5409" spans="1:9" x14ac:dyDescent="0.3">
      <c r="A5409" t="s">
        <v>10133</v>
      </c>
      <c r="B5409" t="s">
        <v>110</v>
      </c>
      <c r="C5409">
        <v>9406980470</v>
      </c>
      <c r="D5409" s="2">
        <v>1</v>
      </c>
      <c r="E5409" t="str">
        <f>"4574674200903540"</f>
        <v>4574674200903540</v>
      </c>
      <c r="F5409" t="str">
        <f>"955"</f>
        <v>955</v>
      </c>
      <c r="G5409">
        <v>1</v>
      </c>
      <c r="H5409">
        <v>2023</v>
      </c>
      <c r="I5409" t="s">
        <v>5524</v>
      </c>
    </row>
    <row r="5410" spans="1:9" x14ac:dyDescent="0.3">
      <c r="A5410" t="s">
        <v>10133</v>
      </c>
      <c r="B5410" t="s">
        <v>110</v>
      </c>
      <c r="C5410">
        <v>9406980470</v>
      </c>
      <c r="D5410" s="2">
        <v>1</v>
      </c>
      <c r="E5410" t="str">
        <f>"4574674200903565"</f>
        <v>4574674200903565</v>
      </c>
      <c r="F5410" t="str">
        <f>"873"</f>
        <v>873</v>
      </c>
      <c r="G5410">
        <v>1</v>
      </c>
      <c r="H5410">
        <v>2023</v>
      </c>
      <c r="I5410" t="s">
        <v>5525</v>
      </c>
    </row>
    <row r="5411" spans="1:9" x14ac:dyDescent="0.3">
      <c r="A5411" t="s">
        <v>10133</v>
      </c>
      <c r="B5411" t="s">
        <v>110</v>
      </c>
      <c r="C5411">
        <v>9406980470</v>
      </c>
      <c r="D5411" s="2">
        <v>1</v>
      </c>
      <c r="E5411" t="str">
        <f>"4574674200903169"</f>
        <v>4574674200903169</v>
      </c>
      <c r="F5411" t="str">
        <f>"614"</f>
        <v>614</v>
      </c>
      <c r="G5411">
        <v>1</v>
      </c>
      <c r="H5411">
        <v>2023</v>
      </c>
      <c r="I5411" t="s">
        <v>5526</v>
      </c>
    </row>
    <row r="5412" spans="1:9" x14ac:dyDescent="0.3">
      <c r="A5412" t="s">
        <v>10133</v>
      </c>
      <c r="B5412" t="s">
        <v>110</v>
      </c>
      <c r="C5412">
        <v>9406980470</v>
      </c>
      <c r="D5412" s="2">
        <v>1</v>
      </c>
      <c r="E5412" t="str">
        <f>"4574674200903607"</f>
        <v>4574674200903607</v>
      </c>
      <c r="F5412" t="str">
        <f>"236"</f>
        <v>236</v>
      </c>
      <c r="G5412">
        <v>1</v>
      </c>
      <c r="H5412">
        <v>2023</v>
      </c>
      <c r="I5412" t="s">
        <v>5527</v>
      </c>
    </row>
    <row r="5413" spans="1:9" x14ac:dyDescent="0.3">
      <c r="A5413" t="s">
        <v>10133</v>
      </c>
      <c r="B5413" t="s">
        <v>110</v>
      </c>
      <c r="C5413">
        <v>9406980470</v>
      </c>
      <c r="D5413" s="2">
        <v>1</v>
      </c>
      <c r="E5413" t="str">
        <f>"4574674200903631"</f>
        <v>4574674200903631</v>
      </c>
      <c r="F5413" t="str">
        <f>"560"</f>
        <v>560</v>
      </c>
      <c r="G5413">
        <v>1</v>
      </c>
      <c r="H5413">
        <v>2023</v>
      </c>
      <c r="I5413" t="s">
        <v>5528</v>
      </c>
    </row>
    <row r="5414" spans="1:9" x14ac:dyDescent="0.3">
      <c r="A5414" t="s">
        <v>10133</v>
      </c>
      <c r="B5414" t="s">
        <v>110</v>
      </c>
      <c r="C5414">
        <v>9406980470</v>
      </c>
      <c r="D5414" s="2">
        <v>1</v>
      </c>
      <c r="E5414" t="str">
        <f>"4574674200903656"</f>
        <v>4574674200903656</v>
      </c>
      <c r="F5414" t="str">
        <f>"595"</f>
        <v>595</v>
      </c>
      <c r="G5414">
        <v>1</v>
      </c>
      <c r="H5414">
        <v>2023</v>
      </c>
      <c r="I5414" t="s">
        <v>5529</v>
      </c>
    </row>
    <row r="5415" spans="1:9" x14ac:dyDescent="0.3">
      <c r="A5415" t="s">
        <v>10133</v>
      </c>
      <c r="B5415" t="s">
        <v>110</v>
      </c>
      <c r="C5415">
        <v>9406980470</v>
      </c>
      <c r="D5415" s="2">
        <v>1</v>
      </c>
      <c r="E5415" t="str">
        <f>"4574674200903680"</f>
        <v>4574674200903680</v>
      </c>
      <c r="F5415" t="str">
        <f>"167"</f>
        <v>167</v>
      </c>
      <c r="G5415">
        <v>1</v>
      </c>
      <c r="H5415">
        <v>2023</v>
      </c>
      <c r="I5415" t="s">
        <v>5530</v>
      </c>
    </row>
    <row r="5416" spans="1:9" x14ac:dyDescent="0.3">
      <c r="A5416" t="s">
        <v>10133</v>
      </c>
      <c r="B5416" t="s">
        <v>110</v>
      </c>
      <c r="C5416">
        <v>9406980470</v>
      </c>
      <c r="D5416" s="2">
        <v>1</v>
      </c>
      <c r="E5416" t="str">
        <f>"4574674200903862"</f>
        <v>4574674200903862</v>
      </c>
      <c r="F5416" t="str">
        <f>"279"</f>
        <v>279</v>
      </c>
      <c r="G5416">
        <v>1</v>
      </c>
      <c r="H5416">
        <v>2023</v>
      </c>
      <c r="I5416" t="s">
        <v>5531</v>
      </c>
    </row>
    <row r="5417" spans="1:9" x14ac:dyDescent="0.3">
      <c r="A5417" t="s">
        <v>10133</v>
      </c>
      <c r="B5417" t="s">
        <v>110</v>
      </c>
      <c r="C5417">
        <v>9406980470</v>
      </c>
      <c r="D5417" s="2">
        <v>1</v>
      </c>
      <c r="E5417" t="str">
        <f>"4574674200904019"</f>
        <v>4574674200904019</v>
      </c>
      <c r="F5417" t="str">
        <f>"630"</f>
        <v>630</v>
      </c>
      <c r="G5417">
        <v>1</v>
      </c>
      <c r="H5417">
        <v>2023</v>
      </c>
      <c r="I5417" t="s">
        <v>5532</v>
      </c>
    </row>
    <row r="5418" spans="1:9" x14ac:dyDescent="0.3">
      <c r="A5418" t="s">
        <v>10133</v>
      </c>
      <c r="B5418" t="s">
        <v>110</v>
      </c>
      <c r="C5418">
        <v>9406980470</v>
      </c>
      <c r="D5418" s="2">
        <v>1</v>
      </c>
      <c r="E5418" t="str">
        <f>"4574674200904001"</f>
        <v>4574674200904001</v>
      </c>
      <c r="F5418" t="str">
        <f>"273"</f>
        <v>273</v>
      </c>
      <c r="G5418">
        <v>1</v>
      </c>
      <c r="H5418">
        <v>2023</v>
      </c>
      <c r="I5418" t="s">
        <v>5533</v>
      </c>
    </row>
    <row r="5419" spans="1:9" x14ac:dyDescent="0.3">
      <c r="A5419" t="s">
        <v>10134</v>
      </c>
      <c r="B5419" t="s">
        <v>111</v>
      </c>
      <c r="C5419">
        <v>9406980470</v>
      </c>
      <c r="D5419" s="2">
        <v>1</v>
      </c>
      <c r="E5419" t="str">
        <f>"4574674200904076"</f>
        <v>4574674200904076</v>
      </c>
      <c r="F5419" t="str">
        <f>"614"</f>
        <v>614</v>
      </c>
      <c r="G5419">
        <v>1</v>
      </c>
      <c r="H5419">
        <v>2023</v>
      </c>
      <c r="I5419" t="s">
        <v>5534</v>
      </c>
    </row>
    <row r="5420" spans="1:9" x14ac:dyDescent="0.3">
      <c r="A5420" t="s">
        <v>10134</v>
      </c>
      <c r="B5420" t="s">
        <v>111</v>
      </c>
      <c r="C5420">
        <v>9406980470</v>
      </c>
      <c r="D5420" s="2">
        <v>1</v>
      </c>
      <c r="E5420" t="str">
        <f>"4574674200904928"</f>
        <v>4574674200904928</v>
      </c>
      <c r="F5420" t="str">
        <f>"865"</f>
        <v>865</v>
      </c>
      <c r="G5420">
        <v>1</v>
      </c>
      <c r="H5420">
        <v>2023</v>
      </c>
      <c r="I5420" t="s">
        <v>5535</v>
      </c>
    </row>
    <row r="5421" spans="1:9" x14ac:dyDescent="0.3">
      <c r="A5421" t="s">
        <v>10134</v>
      </c>
      <c r="B5421" t="s">
        <v>111</v>
      </c>
      <c r="C5421">
        <v>9406980470</v>
      </c>
      <c r="D5421" s="2">
        <v>1</v>
      </c>
      <c r="E5421" t="str">
        <f>"4574674200905214"</f>
        <v>4574674200905214</v>
      </c>
      <c r="F5421" t="str">
        <f>"803"</f>
        <v>803</v>
      </c>
      <c r="G5421">
        <v>1</v>
      </c>
      <c r="H5421">
        <v>2023</v>
      </c>
      <c r="I5421" t="s">
        <v>5536</v>
      </c>
    </row>
    <row r="5422" spans="1:9" x14ac:dyDescent="0.3">
      <c r="A5422" t="s">
        <v>10134</v>
      </c>
      <c r="B5422" t="s">
        <v>111</v>
      </c>
      <c r="C5422">
        <v>9406980470</v>
      </c>
      <c r="D5422" s="2">
        <v>1</v>
      </c>
      <c r="E5422" t="str">
        <f>"4574674200905271"</f>
        <v>4574674200905271</v>
      </c>
      <c r="F5422" t="str">
        <f>"829"</f>
        <v>829</v>
      </c>
      <c r="G5422">
        <v>1</v>
      </c>
      <c r="H5422">
        <v>2023</v>
      </c>
      <c r="I5422" t="s">
        <v>5537</v>
      </c>
    </row>
    <row r="5423" spans="1:9" x14ac:dyDescent="0.3">
      <c r="A5423" t="s">
        <v>10134</v>
      </c>
      <c r="B5423" t="s">
        <v>111</v>
      </c>
      <c r="C5423">
        <v>9406980470</v>
      </c>
      <c r="D5423" s="2">
        <v>1</v>
      </c>
      <c r="E5423" t="str">
        <f>"4574674200905263"</f>
        <v>4574674200905263</v>
      </c>
      <c r="F5423" t="str">
        <f>"451"</f>
        <v>451</v>
      </c>
      <c r="G5423">
        <v>1</v>
      </c>
      <c r="H5423">
        <v>2023</v>
      </c>
      <c r="I5423" t="s">
        <v>5538</v>
      </c>
    </row>
    <row r="5424" spans="1:9" x14ac:dyDescent="0.3">
      <c r="A5424" t="s">
        <v>10134</v>
      </c>
      <c r="B5424" t="s">
        <v>111</v>
      </c>
      <c r="C5424">
        <v>9406980470</v>
      </c>
      <c r="D5424" s="2">
        <v>1</v>
      </c>
      <c r="E5424" t="str">
        <f>"4574674200904985"</f>
        <v>4574674200904985</v>
      </c>
      <c r="F5424" t="str">
        <f>"913"</f>
        <v>913</v>
      </c>
      <c r="G5424">
        <v>1</v>
      </c>
      <c r="H5424">
        <v>2023</v>
      </c>
      <c r="I5424" t="s">
        <v>5539</v>
      </c>
    </row>
    <row r="5425" spans="1:9" x14ac:dyDescent="0.3">
      <c r="A5425" t="s">
        <v>10134</v>
      </c>
      <c r="B5425" t="s">
        <v>111</v>
      </c>
      <c r="C5425">
        <v>9406980470</v>
      </c>
      <c r="D5425" s="2">
        <v>1</v>
      </c>
      <c r="E5425" t="str">
        <f>"4574674200905313"</f>
        <v>4574674200905313</v>
      </c>
      <c r="F5425" t="str">
        <f>"519"</f>
        <v>519</v>
      </c>
      <c r="G5425">
        <v>1</v>
      </c>
      <c r="H5425">
        <v>2023</v>
      </c>
      <c r="I5425" t="s">
        <v>5540</v>
      </c>
    </row>
    <row r="5426" spans="1:9" x14ac:dyDescent="0.3">
      <c r="A5426" t="s">
        <v>10134</v>
      </c>
      <c r="B5426" t="s">
        <v>111</v>
      </c>
      <c r="C5426">
        <v>9406980470</v>
      </c>
      <c r="D5426" s="2">
        <v>1</v>
      </c>
      <c r="E5426" t="str">
        <f>"4574674200905347"</f>
        <v>4574674200905347</v>
      </c>
      <c r="F5426" t="str">
        <f>"201"</f>
        <v>201</v>
      </c>
      <c r="G5426">
        <v>1</v>
      </c>
      <c r="H5426">
        <v>2023</v>
      </c>
      <c r="I5426" t="s">
        <v>5541</v>
      </c>
    </row>
    <row r="5427" spans="1:9" x14ac:dyDescent="0.3">
      <c r="A5427" t="s">
        <v>10134</v>
      </c>
      <c r="B5427" t="s">
        <v>111</v>
      </c>
      <c r="C5427">
        <v>9406980470</v>
      </c>
      <c r="D5427" s="2">
        <v>1</v>
      </c>
      <c r="E5427" t="str">
        <f>"4574674200905602"</f>
        <v>4574674200905602</v>
      </c>
      <c r="F5427" t="str">
        <f>"561"</f>
        <v>561</v>
      </c>
      <c r="G5427">
        <v>1</v>
      </c>
      <c r="H5427">
        <v>2023</v>
      </c>
      <c r="I5427" t="s">
        <v>5542</v>
      </c>
    </row>
    <row r="5428" spans="1:9" x14ac:dyDescent="0.3">
      <c r="A5428" t="s">
        <v>10134</v>
      </c>
      <c r="B5428" t="s">
        <v>111</v>
      </c>
      <c r="C5428">
        <v>9406980470</v>
      </c>
      <c r="D5428" s="2">
        <v>1</v>
      </c>
      <c r="E5428" t="str">
        <f>"4574674200905636"</f>
        <v>4574674200905636</v>
      </c>
      <c r="F5428" t="str">
        <f>"277"</f>
        <v>277</v>
      </c>
      <c r="G5428">
        <v>1</v>
      </c>
      <c r="H5428">
        <v>2023</v>
      </c>
      <c r="I5428" t="s">
        <v>5543</v>
      </c>
    </row>
    <row r="5429" spans="1:9" x14ac:dyDescent="0.3">
      <c r="A5429" t="s">
        <v>10135</v>
      </c>
      <c r="B5429" t="s">
        <v>112</v>
      </c>
      <c r="C5429">
        <v>9406980470</v>
      </c>
      <c r="D5429" s="2">
        <v>1</v>
      </c>
      <c r="E5429" t="str">
        <f>"4574674200905644"</f>
        <v>4574674200905644</v>
      </c>
      <c r="F5429" t="str">
        <f>"512"</f>
        <v>512</v>
      </c>
      <c r="G5429">
        <v>1</v>
      </c>
      <c r="H5429">
        <v>2023</v>
      </c>
      <c r="I5429" t="s">
        <v>5544</v>
      </c>
    </row>
    <row r="5430" spans="1:9" x14ac:dyDescent="0.3">
      <c r="A5430" t="s">
        <v>10135</v>
      </c>
      <c r="B5430" t="s">
        <v>112</v>
      </c>
      <c r="C5430">
        <v>9406980470</v>
      </c>
      <c r="D5430" s="2">
        <v>1</v>
      </c>
      <c r="E5430" t="str">
        <f>"4574674200905446"</f>
        <v>4574674200905446</v>
      </c>
      <c r="F5430" t="str">
        <f>"046"</f>
        <v>046</v>
      </c>
      <c r="G5430">
        <v>1</v>
      </c>
      <c r="H5430">
        <v>2023</v>
      </c>
      <c r="I5430" t="s">
        <v>5545</v>
      </c>
    </row>
    <row r="5431" spans="1:9" x14ac:dyDescent="0.3">
      <c r="A5431" t="s">
        <v>10135</v>
      </c>
      <c r="B5431" t="s">
        <v>112</v>
      </c>
      <c r="C5431">
        <v>9406980470</v>
      </c>
      <c r="D5431" s="2">
        <v>1</v>
      </c>
      <c r="E5431" t="str">
        <f>"4574674200905669"</f>
        <v>4574674200905669</v>
      </c>
      <c r="F5431" t="str">
        <f>"856"</f>
        <v>856</v>
      </c>
      <c r="G5431">
        <v>1</v>
      </c>
      <c r="H5431">
        <v>2023</v>
      </c>
      <c r="I5431" t="s">
        <v>5546</v>
      </c>
    </row>
    <row r="5432" spans="1:9" x14ac:dyDescent="0.3">
      <c r="A5432" t="s">
        <v>10135</v>
      </c>
      <c r="B5432" t="s">
        <v>112</v>
      </c>
      <c r="C5432">
        <v>9406980470</v>
      </c>
      <c r="D5432" s="2">
        <v>1</v>
      </c>
      <c r="E5432" t="str">
        <f>"4574674200905701"</f>
        <v>4574674200905701</v>
      </c>
      <c r="F5432" t="str">
        <f>"662"</f>
        <v>662</v>
      </c>
      <c r="G5432">
        <v>1</v>
      </c>
      <c r="H5432">
        <v>2023</v>
      </c>
      <c r="I5432" t="s">
        <v>5547</v>
      </c>
    </row>
    <row r="5433" spans="1:9" x14ac:dyDescent="0.3">
      <c r="A5433" t="s">
        <v>10135</v>
      </c>
      <c r="B5433" t="s">
        <v>112</v>
      </c>
      <c r="C5433">
        <v>9406980470</v>
      </c>
      <c r="D5433" s="2">
        <v>1</v>
      </c>
      <c r="E5433" t="str">
        <f>"4574674200905503"</f>
        <v>4574674200905503</v>
      </c>
      <c r="F5433" t="str">
        <f>"692"</f>
        <v>692</v>
      </c>
      <c r="G5433">
        <v>1</v>
      </c>
      <c r="H5433">
        <v>2023</v>
      </c>
      <c r="I5433" t="s">
        <v>5548</v>
      </c>
    </row>
    <row r="5434" spans="1:9" x14ac:dyDescent="0.3">
      <c r="A5434" t="s">
        <v>10135</v>
      </c>
      <c r="B5434" t="s">
        <v>112</v>
      </c>
      <c r="C5434">
        <v>9406980470</v>
      </c>
      <c r="D5434" s="2">
        <v>1</v>
      </c>
      <c r="E5434" t="str">
        <f>"4574674200905800"</f>
        <v>4574674200905800</v>
      </c>
      <c r="F5434" t="str">
        <f>"535"</f>
        <v>535</v>
      </c>
      <c r="G5434">
        <v>1</v>
      </c>
      <c r="H5434">
        <v>2023</v>
      </c>
      <c r="I5434" t="s">
        <v>5549</v>
      </c>
    </row>
    <row r="5435" spans="1:9" x14ac:dyDescent="0.3">
      <c r="A5435" t="s">
        <v>10135</v>
      </c>
      <c r="B5435" t="s">
        <v>112</v>
      </c>
      <c r="C5435">
        <v>9406980470</v>
      </c>
      <c r="D5435" s="2">
        <v>1</v>
      </c>
      <c r="E5435" t="str">
        <f>"4574674200905784"</f>
        <v>4574674200905784</v>
      </c>
      <c r="F5435" t="str">
        <f>"686"</f>
        <v>686</v>
      </c>
      <c r="G5435">
        <v>1</v>
      </c>
      <c r="H5435">
        <v>2023</v>
      </c>
      <c r="I5435" t="s">
        <v>5550</v>
      </c>
    </row>
    <row r="5436" spans="1:9" x14ac:dyDescent="0.3">
      <c r="A5436" t="s">
        <v>10135</v>
      </c>
      <c r="B5436" t="s">
        <v>112</v>
      </c>
      <c r="C5436">
        <v>9406980470</v>
      </c>
      <c r="D5436" s="2">
        <v>1</v>
      </c>
      <c r="E5436" t="str">
        <f>"4574674200905792"</f>
        <v>4574674200905792</v>
      </c>
      <c r="F5436" t="str">
        <f>"233"</f>
        <v>233</v>
      </c>
      <c r="G5436">
        <v>1</v>
      </c>
      <c r="H5436">
        <v>2023</v>
      </c>
      <c r="I5436" t="s">
        <v>5551</v>
      </c>
    </row>
    <row r="5437" spans="1:9" x14ac:dyDescent="0.3">
      <c r="A5437" t="s">
        <v>10135</v>
      </c>
      <c r="B5437" t="s">
        <v>112</v>
      </c>
      <c r="C5437">
        <v>9406980470</v>
      </c>
      <c r="D5437" s="2">
        <v>1</v>
      </c>
      <c r="E5437" t="str">
        <f>"4574674200905818"</f>
        <v>4574674200905818</v>
      </c>
      <c r="F5437" t="str">
        <f>"163"</f>
        <v>163</v>
      </c>
      <c r="G5437">
        <v>1</v>
      </c>
      <c r="H5437">
        <v>2023</v>
      </c>
      <c r="I5437" t="s">
        <v>5552</v>
      </c>
    </row>
    <row r="5438" spans="1:9" x14ac:dyDescent="0.3">
      <c r="A5438" t="s">
        <v>10135</v>
      </c>
      <c r="B5438" t="s">
        <v>112</v>
      </c>
      <c r="C5438">
        <v>9406980470</v>
      </c>
      <c r="D5438" s="2">
        <v>1</v>
      </c>
      <c r="E5438" t="str">
        <f>"4574674200905859"</f>
        <v>4574674200905859</v>
      </c>
      <c r="F5438" t="str">
        <f>"696"</f>
        <v>696</v>
      </c>
      <c r="G5438">
        <v>1</v>
      </c>
      <c r="H5438">
        <v>2023</v>
      </c>
      <c r="I5438" t="s">
        <v>5553</v>
      </c>
    </row>
    <row r="5439" spans="1:9" x14ac:dyDescent="0.3">
      <c r="A5439" t="s">
        <v>10136</v>
      </c>
      <c r="B5439" t="s">
        <v>113</v>
      </c>
      <c r="C5439">
        <v>9406980470</v>
      </c>
      <c r="D5439" s="2">
        <v>1</v>
      </c>
      <c r="E5439" t="str">
        <f>"4574674200905586"</f>
        <v>4574674200905586</v>
      </c>
      <c r="F5439" t="str">
        <f>"067"</f>
        <v>067</v>
      </c>
      <c r="G5439">
        <v>1</v>
      </c>
      <c r="H5439">
        <v>2023</v>
      </c>
      <c r="I5439" t="s">
        <v>5554</v>
      </c>
    </row>
    <row r="5440" spans="1:9" x14ac:dyDescent="0.3">
      <c r="A5440" t="s">
        <v>10136</v>
      </c>
      <c r="B5440" t="s">
        <v>113</v>
      </c>
      <c r="C5440">
        <v>9406980470</v>
      </c>
      <c r="D5440" s="2">
        <v>1</v>
      </c>
      <c r="E5440" t="str">
        <f>"4574674200905917"</f>
        <v>4574674200905917</v>
      </c>
      <c r="F5440" t="str">
        <f>"768"</f>
        <v>768</v>
      </c>
      <c r="G5440">
        <v>1</v>
      </c>
      <c r="H5440">
        <v>2023</v>
      </c>
      <c r="I5440" t="s">
        <v>5555</v>
      </c>
    </row>
    <row r="5441" spans="1:9" x14ac:dyDescent="0.3">
      <c r="A5441" t="s">
        <v>10136</v>
      </c>
      <c r="B5441" t="s">
        <v>113</v>
      </c>
      <c r="C5441">
        <v>9406980470</v>
      </c>
      <c r="D5441" s="2">
        <v>1</v>
      </c>
      <c r="E5441" t="str">
        <f>"4574674200905958"</f>
        <v>4574674200905958</v>
      </c>
      <c r="F5441" t="str">
        <f>"339"</f>
        <v>339</v>
      </c>
      <c r="G5441">
        <v>1</v>
      </c>
      <c r="H5441">
        <v>2023</v>
      </c>
      <c r="I5441" t="s">
        <v>5556</v>
      </c>
    </row>
    <row r="5442" spans="1:9" x14ac:dyDescent="0.3">
      <c r="A5442" t="s">
        <v>10136</v>
      </c>
      <c r="B5442" t="s">
        <v>113</v>
      </c>
      <c r="C5442">
        <v>9406980470</v>
      </c>
      <c r="D5442" s="2">
        <v>1</v>
      </c>
      <c r="E5442" t="str">
        <f>"4574674200906014"</f>
        <v>4574674200906014</v>
      </c>
      <c r="F5442" t="str">
        <f>"889"</f>
        <v>889</v>
      </c>
      <c r="G5442">
        <v>1</v>
      </c>
      <c r="H5442">
        <v>2023</v>
      </c>
      <c r="I5442" t="s">
        <v>5557</v>
      </c>
    </row>
    <row r="5443" spans="1:9" x14ac:dyDescent="0.3">
      <c r="A5443" t="s">
        <v>10136</v>
      </c>
      <c r="B5443" t="s">
        <v>113</v>
      </c>
      <c r="C5443">
        <v>9406980470</v>
      </c>
      <c r="D5443" s="2">
        <v>1</v>
      </c>
      <c r="E5443" t="str">
        <f>"4574674200905982"</f>
        <v>4574674200905982</v>
      </c>
      <c r="F5443" t="str">
        <f>"592"</f>
        <v>592</v>
      </c>
      <c r="G5443">
        <v>1</v>
      </c>
      <c r="H5443">
        <v>2023</v>
      </c>
      <c r="I5443" t="s">
        <v>5558</v>
      </c>
    </row>
    <row r="5444" spans="1:9" x14ac:dyDescent="0.3">
      <c r="A5444" t="s">
        <v>10136</v>
      </c>
      <c r="B5444" t="s">
        <v>113</v>
      </c>
      <c r="C5444">
        <v>9406980470</v>
      </c>
      <c r="D5444" s="2">
        <v>1</v>
      </c>
      <c r="E5444" t="str">
        <f>"4574674200905974"</f>
        <v>4574674200905974</v>
      </c>
      <c r="F5444" t="str">
        <f>"414"</f>
        <v>414</v>
      </c>
      <c r="G5444">
        <v>1</v>
      </c>
      <c r="H5444">
        <v>2023</v>
      </c>
      <c r="I5444" t="s">
        <v>5559</v>
      </c>
    </row>
    <row r="5445" spans="1:9" x14ac:dyDescent="0.3">
      <c r="A5445" t="s">
        <v>10136</v>
      </c>
      <c r="B5445" t="s">
        <v>113</v>
      </c>
      <c r="C5445">
        <v>9406980470</v>
      </c>
      <c r="D5445" s="2">
        <v>1</v>
      </c>
      <c r="E5445" t="str">
        <f>"4574674200906238"</f>
        <v>4574674200906238</v>
      </c>
      <c r="F5445" t="str">
        <f>"843"</f>
        <v>843</v>
      </c>
      <c r="G5445">
        <v>1</v>
      </c>
      <c r="H5445">
        <v>2023</v>
      </c>
      <c r="I5445" t="s">
        <v>5560</v>
      </c>
    </row>
    <row r="5446" spans="1:9" x14ac:dyDescent="0.3">
      <c r="A5446" t="s">
        <v>10136</v>
      </c>
      <c r="B5446" t="s">
        <v>113</v>
      </c>
      <c r="C5446">
        <v>9406980470</v>
      </c>
      <c r="D5446" s="2">
        <v>1</v>
      </c>
      <c r="E5446" t="str">
        <f>"4574674200906246"</f>
        <v>4574674200906246</v>
      </c>
      <c r="F5446" t="str">
        <f>"449"</f>
        <v>449</v>
      </c>
      <c r="G5446">
        <v>1</v>
      </c>
      <c r="H5446">
        <v>2023</v>
      </c>
      <c r="I5446" t="s">
        <v>5561</v>
      </c>
    </row>
    <row r="5447" spans="1:9" x14ac:dyDescent="0.3">
      <c r="A5447" t="s">
        <v>10136</v>
      </c>
      <c r="B5447" t="s">
        <v>113</v>
      </c>
      <c r="C5447">
        <v>9406980470</v>
      </c>
      <c r="D5447" s="2">
        <v>1</v>
      </c>
      <c r="E5447" t="str">
        <f>"4574674200906287"</f>
        <v>4574674200906287</v>
      </c>
      <c r="F5447" t="str">
        <f>"381"</f>
        <v>381</v>
      </c>
      <c r="G5447">
        <v>1</v>
      </c>
      <c r="H5447">
        <v>2023</v>
      </c>
      <c r="I5447" t="s">
        <v>5562</v>
      </c>
    </row>
    <row r="5448" spans="1:9" x14ac:dyDescent="0.3">
      <c r="A5448" t="s">
        <v>10136</v>
      </c>
      <c r="B5448" t="s">
        <v>113</v>
      </c>
      <c r="C5448">
        <v>9406980470</v>
      </c>
      <c r="D5448" s="2">
        <v>1</v>
      </c>
      <c r="E5448" t="str">
        <f>"4574674200906329"</f>
        <v>4574674200906329</v>
      </c>
      <c r="F5448" t="str">
        <f>"290"</f>
        <v>290</v>
      </c>
      <c r="G5448">
        <v>1</v>
      </c>
      <c r="H5448">
        <v>2023</v>
      </c>
      <c r="I5448" t="s">
        <v>5563</v>
      </c>
    </row>
    <row r="5449" spans="1:9" x14ac:dyDescent="0.3">
      <c r="A5449" t="s">
        <v>10137</v>
      </c>
      <c r="B5449" t="s">
        <v>114</v>
      </c>
      <c r="C5449">
        <v>9406980470</v>
      </c>
      <c r="D5449" s="2">
        <v>1</v>
      </c>
      <c r="E5449" t="str">
        <f>"4574674200906337"</f>
        <v>4574674200906337</v>
      </c>
      <c r="F5449" t="str">
        <f>"826"</f>
        <v>826</v>
      </c>
      <c r="G5449">
        <v>1</v>
      </c>
      <c r="H5449">
        <v>2023</v>
      </c>
      <c r="I5449" t="s">
        <v>5564</v>
      </c>
    </row>
    <row r="5450" spans="1:9" x14ac:dyDescent="0.3">
      <c r="A5450" t="s">
        <v>10137</v>
      </c>
      <c r="B5450" t="s">
        <v>114</v>
      </c>
      <c r="C5450">
        <v>9406980470</v>
      </c>
      <c r="D5450" s="2">
        <v>1</v>
      </c>
      <c r="E5450" t="str">
        <f>"4574674200906105"</f>
        <v>4574674200906105</v>
      </c>
      <c r="F5450" t="str">
        <f>"949"</f>
        <v>949</v>
      </c>
      <c r="G5450">
        <v>1</v>
      </c>
      <c r="H5450">
        <v>2023</v>
      </c>
      <c r="I5450" t="s">
        <v>5565</v>
      </c>
    </row>
    <row r="5451" spans="1:9" x14ac:dyDescent="0.3">
      <c r="A5451" t="s">
        <v>10137</v>
      </c>
      <c r="B5451" t="s">
        <v>114</v>
      </c>
      <c r="C5451">
        <v>9406980470</v>
      </c>
      <c r="D5451" s="2">
        <v>1</v>
      </c>
      <c r="E5451" t="str">
        <f>"4574674200906386"</f>
        <v>4574674200906386</v>
      </c>
      <c r="F5451" t="str">
        <f>"628"</f>
        <v>628</v>
      </c>
      <c r="G5451">
        <v>1</v>
      </c>
      <c r="H5451">
        <v>2023</v>
      </c>
      <c r="I5451" t="s">
        <v>5566</v>
      </c>
    </row>
    <row r="5452" spans="1:9" x14ac:dyDescent="0.3">
      <c r="A5452" t="s">
        <v>10137</v>
      </c>
      <c r="B5452" t="s">
        <v>114</v>
      </c>
      <c r="C5452">
        <v>9406980470</v>
      </c>
      <c r="D5452" s="2">
        <v>1</v>
      </c>
      <c r="E5452" t="str">
        <f>"4574674200906402"</f>
        <v>4574674200906402</v>
      </c>
      <c r="F5452" t="str">
        <f>"890"</f>
        <v>890</v>
      </c>
      <c r="G5452">
        <v>1</v>
      </c>
      <c r="H5452">
        <v>2023</v>
      </c>
      <c r="I5452" t="s">
        <v>5567</v>
      </c>
    </row>
    <row r="5453" spans="1:9" x14ac:dyDescent="0.3">
      <c r="A5453" t="s">
        <v>10137</v>
      </c>
      <c r="B5453" t="s">
        <v>114</v>
      </c>
      <c r="C5453">
        <v>9406980470</v>
      </c>
      <c r="D5453" s="2">
        <v>1</v>
      </c>
      <c r="E5453" t="str">
        <f>"4574674200906410"</f>
        <v>4574674200906410</v>
      </c>
      <c r="F5453" t="str">
        <f>"576"</f>
        <v>576</v>
      </c>
      <c r="G5453">
        <v>1</v>
      </c>
      <c r="H5453">
        <v>2023</v>
      </c>
      <c r="I5453" t="s">
        <v>5568</v>
      </c>
    </row>
    <row r="5454" spans="1:9" x14ac:dyDescent="0.3">
      <c r="A5454" t="s">
        <v>10137</v>
      </c>
      <c r="B5454" t="s">
        <v>114</v>
      </c>
      <c r="C5454">
        <v>9406980470</v>
      </c>
      <c r="D5454" s="2">
        <v>1</v>
      </c>
      <c r="E5454" t="str">
        <f>"4574674200906477"</f>
        <v>4574674200906477</v>
      </c>
      <c r="F5454" t="str">
        <f>"983"</f>
        <v>983</v>
      </c>
      <c r="G5454">
        <v>1</v>
      </c>
      <c r="H5454">
        <v>2023</v>
      </c>
      <c r="I5454" t="s">
        <v>5569</v>
      </c>
    </row>
    <row r="5455" spans="1:9" x14ac:dyDescent="0.3">
      <c r="A5455" t="s">
        <v>10137</v>
      </c>
      <c r="B5455" t="s">
        <v>114</v>
      </c>
      <c r="C5455">
        <v>9406980470</v>
      </c>
      <c r="D5455" s="2">
        <v>1</v>
      </c>
      <c r="E5455" t="str">
        <f>"4574674200906451"</f>
        <v>4574674200906451</v>
      </c>
      <c r="F5455" t="str">
        <f>"967"</f>
        <v>967</v>
      </c>
      <c r="G5455">
        <v>1</v>
      </c>
      <c r="H5455">
        <v>2023</v>
      </c>
      <c r="I5455" t="s">
        <v>5570</v>
      </c>
    </row>
    <row r="5456" spans="1:9" x14ac:dyDescent="0.3">
      <c r="A5456" t="s">
        <v>10137</v>
      </c>
      <c r="B5456" t="s">
        <v>114</v>
      </c>
      <c r="C5456">
        <v>9406980470</v>
      </c>
      <c r="D5456" s="2">
        <v>1</v>
      </c>
      <c r="E5456" t="str">
        <f>"4574674200906121"</f>
        <v>4574674200906121</v>
      </c>
      <c r="F5456" t="str">
        <f>"574"</f>
        <v>574</v>
      </c>
      <c r="G5456">
        <v>1</v>
      </c>
      <c r="H5456">
        <v>2023</v>
      </c>
      <c r="I5456" t="s">
        <v>5571</v>
      </c>
    </row>
    <row r="5457" spans="1:9" x14ac:dyDescent="0.3">
      <c r="A5457" t="s">
        <v>10137</v>
      </c>
      <c r="B5457" t="s">
        <v>114</v>
      </c>
      <c r="C5457">
        <v>9406980470</v>
      </c>
      <c r="D5457" s="2">
        <v>1</v>
      </c>
      <c r="E5457" t="str">
        <f>"4574674200906568"</f>
        <v>4574674200906568</v>
      </c>
      <c r="F5457" t="str">
        <f>"894"</f>
        <v>894</v>
      </c>
      <c r="G5457">
        <v>1</v>
      </c>
      <c r="H5457">
        <v>2023</v>
      </c>
      <c r="I5457" t="s">
        <v>5572</v>
      </c>
    </row>
    <row r="5458" spans="1:9" x14ac:dyDescent="0.3">
      <c r="A5458" t="s">
        <v>10137</v>
      </c>
      <c r="B5458" t="s">
        <v>114</v>
      </c>
      <c r="C5458">
        <v>9406980470</v>
      </c>
      <c r="D5458" s="2">
        <v>1</v>
      </c>
      <c r="E5458" t="str">
        <f>"4574674200906550"</f>
        <v>4574674200906550</v>
      </c>
      <c r="F5458" t="str">
        <f>"426"</f>
        <v>426</v>
      </c>
      <c r="G5458">
        <v>1</v>
      </c>
      <c r="H5458">
        <v>2023</v>
      </c>
      <c r="I5458" t="s">
        <v>5573</v>
      </c>
    </row>
    <row r="5459" spans="1:9" x14ac:dyDescent="0.3">
      <c r="A5459" t="s">
        <v>10138</v>
      </c>
      <c r="B5459" t="s">
        <v>115</v>
      </c>
      <c r="C5459">
        <v>9406980470</v>
      </c>
      <c r="D5459" s="2">
        <v>1</v>
      </c>
      <c r="E5459" t="str">
        <f>"4574674200906576"</f>
        <v>4574674200906576</v>
      </c>
      <c r="F5459" t="str">
        <f>"119"</f>
        <v>119</v>
      </c>
      <c r="G5459">
        <v>1</v>
      </c>
      <c r="H5459">
        <v>2023</v>
      </c>
      <c r="I5459" t="s">
        <v>5574</v>
      </c>
    </row>
    <row r="5460" spans="1:9" x14ac:dyDescent="0.3">
      <c r="A5460" t="s">
        <v>10138</v>
      </c>
      <c r="B5460" t="s">
        <v>115</v>
      </c>
      <c r="C5460">
        <v>9406980470</v>
      </c>
      <c r="D5460" s="2">
        <v>1</v>
      </c>
      <c r="E5460" t="str">
        <f>"4574674200906600"</f>
        <v>4574674200906600</v>
      </c>
      <c r="F5460" t="str">
        <f>"256"</f>
        <v>256</v>
      </c>
      <c r="G5460">
        <v>1</v>
      </c>
      <c r="H5460">
        <v>2023</v>
      </c>
      <c r="I5460" t="s">
        <v>5575</v>
      </c>
    </row>
    <row r="5461" spans="1:9" x14ac:dyDescent="0.3">
      <c r="A5461" t="s">
        <v>10138</v>
      </c>
      <c r="B5461" t="s">
        <v>115</v>
      </c>
      <c r="C5461">
        <v>9406980470</v>
      </c>
      <c r="D5461" s="2">
        <v>1</v>
      </c>
      <c r="E5461" t="str">
        <f>"4574674200906634"</f>
        <v>4574674200906634</v>
      </c>
      <c r="F5461" t="str">
        <f>"467"</f>
        <v>467</v>
      </c>
      <c r="G5461">
        <v>1</v>
      </c>
      <c r="H5461">
        <v>2023</v>
      </c>
      <c r="I5461" t="s">
        <v>5576</v>
      </c>
    </row>
    <row r="5462" spans="1:9" x14ac:dyDescent="0.3">
      <c r="A5462" t="s">
        <v>10138</v>
      </c>
      <c r="B5462" t="s">
        <v>115</v>
      </c>
      <c r="C5462">
        <v>9406980470</v>
      </c>
      <c r="D5462" s="2">
        <v>1</v>
      </c>
      <c r="E5462" t="str">
        <f>"4574674200906816"</f>
        <v>4574674200906816</v>
      </c>
      <c r="F5462" t="str">
        <f>"662"</f>
        <v>662</v>
      </c>
      <c r="G5462">
        <v>1</v>
      </c>
      <c r="H5462">
        <v>2023</v>
      </c>
      <c r="I5462" t="s">
        <v>5577</v>
      </c>
    </row>
    <row r="5463" spans="1:9" x14ac:dyDescent="0.3">
      <c r="A5463" t="s">
        <v>10138</v>
      </c>
      <c r="B5463" t="s">
        <v>115</v>
      </c>
      <c r="C5463">
        <v>9406980470</v>
      </c>
      <c r="D5463" s="2">
        <v>1</v>
      </c>
      <c r="E5463" t="str">
        <f>"4574674200906865"</f>
        <v>4574674200906865</v>
      </c>
      <c r="F5463" t="str">
        <f>"909"</f>
        <v>909</v>
      </c>
      <c r="G5463">
        <v>1</v>
      </c>
      <c r="H5463">
        <v>2023</v>
      </c>
      <c r="I5463" t="s">
        <v>5578</v>
      </c>
    </row>
    <row r="5464" spans="1:9" x14ac:dyDescent="0.3">
      <c r="A5464" t="s">
        <v>10138</v>
      </c>
      <c r="B5464" t="s">
        <v>115</v>
      </c>
      <c r="C5464">
        <v>9406980470</v>
      </c>
      <c r="D5464" s="2">
        <v>1</v>
      </c>
      <c r="E5464" t="str">
        <f>"4574674200906717"</f>
        <v>4574674200906717</v>
      </c>
      <c r="F5464" t="str">
        <f>"029"</f>
        <v>029</v>
      </c>
      <c r="G5464">
        <v>1</v>
      </c>
      <c r="H5464">
        <v>2023</v>
      </c>
      <c r="I5464" t="s">
        <v>5579</v>
      </c>
    </row>
    <row r="5465" spans="1:9" x14ac:dyDescent="0.3">
      <c r="A5465" t="s">
        <v>10138</v>
      </c>
      <c r="B5465" t="s">
        <v>115</v>
      </c>
      <c r="C5465">
        <v>9406980470</v>
      </c>
      <c r="D5465" s="2">
        <v>1</v>
      </c>
      <c r="E5465" t="str">
        <f>"4574674200906725"</f>
        <v>4574674200906725</v>
      </c>
      <c r="F5465" t="str">
        <f>"012"</f>
        <v>012</v>
      </c>
      <c r="G5465">
        <v>1</v>
      </c>
      <c r="H5465">
        <v>2023</v>
      </c>
      <c r="I5465" t="s">
        <v>5580</v>
      </c>
    </row>
    <row r="5466" spans="1:9" x14ac:dyDescent="0.3">
      <c r="A5466" t="s">
        <v>10138</v>
      </c>
      <c r="B5466" t="s">
        <v>115</v>
      </c>
      <c r="C5466">
        <v>9406980470</v>
      </c>
      <c r="D5466" s="2">
        <v>1</v>
      </c>
      <c r="E5466" t="str">
        <f>"4574674200906733"</f>
        <v>4574674200906733</v>
      </c>
      <c r="F5466" t="str">
        <f>"567"</f>
        <v>567</v>
      </c>
      <c r="G5466">
        <v>1</v>
      </c>
      <c r="H5466">
        <v>2023</v>
      </c>
      <c r="I5466" t="s">
        <v>5581</v>
      </c>
    </row>
    <row r="5467" spans="1:9" x14ac:dyDescent="0.3">
      <c r="A5467" t="s">
        <v>10138</v>
      </c>
      <c r="B5467" t="s">
        <v>115</v>
      </c>
      <c r="C5467">
        <v>9406980470</v>
      </c>
      <c r="D5467" s="2">
        <v>1</v>
      </c>
      <c r="E5467" t="str">
        <f>"4574674200906741"</f>
        <v>4574674200906741</v>
      </c>
      <c r="F5467" t="str">
        <f>"145"</f>
        <v>145</v>
      </c>
      <c r="G5467">
        <v>1</v>
      </c>
      <c r="H5467">
        <v>2023</v>
      </c>
      <c r="I5467" t="s">
        <v>5582</v>
      </c>
    </row>
    <row r="5468" spans="1:9" x14ac:dyDescent="0.3">
      <c r="A5468" t="s">
        <v>10138</v>
      </c>
      <c r="B5468" t="s">
        <v>115</v>
      </c>
      <c r="C5468">
        <v>9406980470</v>
      </c>
      <c r="D5468" s="2">
        <v>1</v>
      </c>
      <c r="E5468" t="str">
        <f>"4574674200906790"</f>
        <v>4574674200906790</v>
      </c>
      <c r="F5468" t="str">
        <f>"611"</f>
        <v>611</v>
      </c>
      <c r="G5468">
        <v>1</v>
      </c>
      <c r="H5468">
        <v>2023</v>
      </c>
      <c r="I5468" t="s">
        <v>5583</v>
      </c>
    </row>
    <row r="5469" spans="1:9" x14ac:dyDescent="0.3">
      <c r="A5469" t="s">
        <v>10139</v>
      </c>
      <c r="B5469" t="s">
        <v>116</v>
      </c>
      <c r="C5469">
        <v>9406980470</v>
      </c>
      <c r="D5469" s="2">
        <v>1</v>
      </c>
      <c r="E5469" t="str">
        <f>"4574674200906907"</f>
        <v>4574674200906907</v>
      </c>
      <c r="F5469" t="str">
        <f>"530"</f>
        <v>530</v>
      </c>
      <c r="G5469">
        <v>1</v>
      </c>
      <c r="H5469">
        <v>2023</v>
      </c>
      <c r="I5469" t="s">
        <v>5584</v>
      </c>
    </row>
    <row r="5470" spans="1:9" x14ac:dyDescent="0.3">
      <c r="A5470" t="s">
        <v>10139</v>
      </c>
      <c r="B5470" t="s">
        <v>116</v>
      </c>
      <c r="C5470">
        <v>9406980470</v>
      </c>
      <c r="D5470" s="2">
        <v>1</v>
      </c>
      <c r="E5470" t="str">
        <f>"4574674200907103"</f>
        <v>4574674200907103</v>
      </c>
      <c r="F5470" t="str">
        <f>"302"</f>
        <v>302</v>
      </c>
      <c r="G5470">
        <v>1</v>
      </c>
      <c r="H5470">
        <v>2023</v>
      </c>
      <c r="I5470" t="s">
        <v>5585</v>
      </c>
    </row>
    <row r="5471" spans="1:9" x14ac:dyDescent="0.3">
      <c r="A5471" t="s">
        <v>10139</v>
      </c>
      <c r="B5471" t="s">
        <v>116</v>
      </c>
      <c r="C5471">
        <v>9406980470</v>
      </c>
      <c r="D5471" s="2">
        <v>1</v>
      </c>
      <c r="E5471" t="str">
        <f>"4574674200907095"</f>
        <v>4574674200907095</v>
      </c>
      <c r="F5471" t="str">
        <f>"699"</f>
        <v>699</v>
      </c>
      <c r="G5471">
        <v>1</v>
      </c>
      <c r="H5471">
        <v>2023</v>
      </c>
      <c r="I5471" t="s">
        <v>5586</v>
      </c>
    </row>
    <row r="5472" spans="1:9" x14ac:dyDescent="0.3">
      <c r="A5472" t="s">
        <v>10139</v>
      </c>
      <c r="B5472" t="s">
        <v>116</v>
      </c>
      <c r="C5472">
        <v>9406980470</v>
      </c>
      <c r="D5472" s="2">
        <v>1</v>
      </c>
      <c r="E5472" t="str">
        <f>"4574674200907145"</f>
        <v>4574674200907145</v>
      </c>
      <c r="F5472" t="str">
        <f>"457"</f>
        <v>457</v>
      </c>
      <c r="G5472">
        <v>1</v>
      </c>
      <c r="H5472">
        <v>2023</v>
      </c>
      <c r="I5472" t="s">
        <v>5587</v>
      </c>
    </row>
    <row r="5473" spans="1:9" x14ac:dyDescent="0.3">
      <c r="A5473" t="s">
        <v>10139</v>
      </c>
      <c r="B5473" t="s">
        <v>116</v>
      </c>
      <c r="C5473">
        <v>9406980470</v>
      </c>
      <c r="D5473" s="2">
        <v>1</v>
      </c>
      <c r="E5473" t="str">
        <f>"4574674200907137"</f>
        <v>4574674200907137</v>
      </c>
      <c r="F5473" t="str">
        <f>"161"</f>
        <v>161</v>
      </c>
      <c r="G5473">
        <v>1</v>
      </c>
      <c r="H5473">
        <v>2023</v>
      </c>
      <c r="I5473" t="s">
        <v>5588</v>
      </c>
    </row>
    <row r="5474" spans="1:9" x14ac:dyDescent="0.3">
      <c r="A5474" t="s">
        <v>10139</v>
      </c>
      <c r="B5474" t="s">
        <v>116</v>
      </c>
      <c r="C5474">
        <v>9406980470</v>
      </c>
      <c r="D5474" s="2">
        <v>1</v>
      </c>
      <c r="E5474" t="str">
        <f>"4574674200907152"</f>
        <v>4574674200907152</v>
      </c>
      <c r="F5474" t="str">
        <f>"305"</f>
        <v>305</v>
      </c>
      <c r="G5474">
        <v>1</v>
      </c>
      <c r="H5474">
        <v>2023</v>
      </c>
      <c r="I5474" t="s">
        <v>5589</v>
      </c>
    </row>
    <row r="5475" spans="1:9" x14ac:dyDescent="0.3">
      <c r="A5475" t="s">
        <v>10139</v>
      </c>
      <c r="B5475" t="s">
        <v>116</v>
      </c>
      <c r="C5475">
        <v>9406980470</v>
      </c>
      <c r="D5475" s="2">
        <v>1</v>
      </c>
      <c r="E5475" t="str">
        <f>"4574674200906980"</f>
        <v>4574674200906980</v>
      </c>
      <c r="F5475" t="str">
        <f>"531"</f>
        <v>531</v>
      </c>
      <c r="G5475">
        <v>1</v>
      </c>
      <c r="H5475">
        <v>2023</v>
      </c>
      <c r="I5475" t="s">
        <v>5590</v>
      </c>
    </row>
    <row r="5476" spans="1:9" x14ac:dyDescent="0.3">
      <c r="A5476" t="s">
        <v>10139</v>
      </c>
      <c r="B5476" t="s">
        <v>116</v>
      </c>
      <c r="C5476">
        <v>9406980470</v>
      </c>
      <c r="D5476" s="2">
        <v>1</v>
      </c>
      <c r="E5476" t="str">
        <f>"4574674200907426"</f>
        <v>4574674200907426</v>
      </c>
      <c r="F5476" t="str">
        <f>"753"</f>
        <v>753</v>
      </c>
      <c r="G5476">
        <v>1</v>
      </c>
      <c r="H5476">
        <v>2023</v>
      </c>
      <c r="I5476" t="s">
        <v>5591</v>
      </c>
    </row>
    <row r="5477" spans="1:9" x14ac:dyDescent="0.3">
      <c r="A5477" t="s">
        <v>10139</v>
      </c>
      <c r="B5477" t="s">
        <v>116</v>
      </c>
      <c r="C5477">
        <v>9406980470</v>
      </c>
      <c r="D5477" s="2">
        <v>1</v>
      </c>
      <c r="E5477" t="str">
        <f>"4574674200907277"</f>
        <v>4574674200907277</v>
      </c>
      <c r="F5477" t="str">
        <f>"145"</f>
        <v>145</v>
      </c>
      <c r="G5477">
        <v>1</v>
      </c>
      <c r="H5477">
        <v>2023</v>
      </c>
      <c r="I5477" t="s">
        <v>5592</v>
      </c>
    </row>
    <row r="5478" spans="1:9" x14ac:dyDescent="0.3">
      <c r="A5478" t="s">
        <v>10117</v>
      </c>
      <c r="B5478" t="s">
        <v>9</v>
      </c>
      <c r="C5478">
        <v>7648876604</v>
      </c>
      <c r="D5478" s="2">
        <v>1</v>
      </c>
      <c r="E5478" t="str">
        <f>"4574674200907251"</f>
        <v>4574674200907251</v>
      </c>
      <c r="F5478" t="str">
        <f>"888"</f>
        <v>888</v>
      </c>
      <c r="G5478">
        <v>1</v>
      </c>
      <c r="H5478">
        <v>2023</v>
      </c>
      <c r="I5478" t="s">
        <v>5593</v>
      </c>
    </row>
    <row r="5479" spans="1:9" x14ac:dyDescent="0.3">
      <c r="A5479" t="s">
        <v>10117</v>
      </c>
      <c r="B5479" t="s">
        <v>9</v>
      </c>
      <c r="C5479">
        <v>7648876604</v>
      </c>
      <c r="D5479" s="2">
        <v>1</v>
      </c>
      <c r="E5479" t="str">
        <f>"4574674200907327"</f>
        <v>4574674200907327</v>
      </c>
      <c r="F5479" t="str">
        <f>"952"</f>
        <v>952</v>
      </c>
      <c r="G5479">
        <v>1</v>
      </c>
      <c r="H5479">
        <v>2023</v>
      </c>
      <c r="I5479" t="s">
        <v>5594</v>
      </c>
    </row>
    <row r="5480" spans="1:9" x14ac:dyDescent="0.3">
      <c r="A5480" t="s">
        <v>10117</v>
      </c>
      <c r="B5480" t="s">
        <v>9</v>
      </c>
      <c r="C5480">
        <v>7648876604</v>
      </c>
      <c r="D5480" s="2">
        <v>1</v>
      </c>
      <c r="E5480" t="str">
        <f>"4574674200907293"</f>
        <v>4574674200907293</v>
      </c>
      <c r="F5480" t="str">
        <f>"540"</f>
        <v>540</v>
      </c>
      <c r="G5480">
        <v>1</v>
      </c>
      <c r="H5480">
        <v>2023</v>
      </c>
      <c r="I5480" t="s">
        <v>5595</v>
      </c>
    </row>
    <row r="5481" spans="1:9" x14ac:dyDescent="0.3">
      <c r="A5481" t="s">
        <v>10117</v>
      </c>
      <c r="B5481" t="s">
        <v>9</v>
      </c>
      <c r="C5481">
        <v>7648876604</v>
      </c>
      <c r="D5481" s="2">
        <v>1</v>
      </c>
      <c r="E5481" t="str">
        <f>"4574674200907301"</f>
        <v>4574674200907301</v>
      </c>
      <c r="F5481" t="str">
        <f>"619"</f>
        <v>619</v>
      </c>
      <c r="G5481">
        <v>1</v>
      </c>
      <c r="H5481">
        <v>2023</v>
      </c>
      <c r="I5481" t="s">
        <v>5596</v>
      </c>
    </row>
    <row r="5482" spans="1:9" x14ac:dyDescent="0.3">
      <c r="A5482" t="s">
        <v>10117</v>
      </c>
      <c r="B5482" t="s">
        <v>9</v>
      </c>
      <c r="C5482">
        <v>7648876604</v>
      </c>
      <c r="D5482" s="2">
        <v>1</v>
      </c>
      <c r="E5482" t="str">
        <f>"4574674200907483"</f>
        <v>4574674200907483</v>
      </c>
      <c r="F5482" t="str">
        <f>"294"</f>
        <v>294</v>
      </c>
      <c r="G5482">
        <v>1</v>
      </c>
      <c r="H5482">
        <v>2023</v>
      </c>
      <c r="I5482" t="s">
        <v>5597</v>
      </c>
    </row>
    <row r="5483" spans="1:9" x14ac:dyDescent="0.3">
      <c r="A5483" t="s">
        <v>10117</v>
      </c>
      <c r="B5483" t="s">
        <v>9</v>
      </c>
      <c r="C5483">
        <v>7648876604</v>
      </c>
      <c r="D5483" s="2">
        <v>1</v>
      </c>
      <c r="E5483" t="str">
        <f>"4574674200907608"</f>
        <v>4574674200907608</v>
      </c>
      <c r="F5483" t="str">
        <f>"463"</f>
        <v>463</v>
      </c>
      <c r="G5483">
        <v>1</v>
      </c>
      <c r="H5483">
        <v>2023</v>
      </c>
      <c r="I5483" t="s">
        <v>5598</v>
      </c>
    </row>
    <row r="5484" spans="1:9" x14ac:dyDescent="0.3">
      <c r="A5484" t="s">
        <v>10117</v>
      </c>
      <c r="B5484" t="s">
        <v>9</v>
      </c>
      <c r="C5484">
        <v>7648876604</v>
      </c>
      <c r="D5484" s="2">
        <v>1</v>
      </c>
      <c r="E5484" t="str">
        <f>"4574674200907657"</f>
        <v>4574674200907657</v>
      </c>
      <c r="F5484" t="str">
        <f>"840"</f>
        <v>840</v>
      </c>
      <c r="G5484">
        <v>1</v>
      </c>
      <c r="H5484">
        <v>2023</v>
      </c>
      <c r="I5484" t="s">
        <v>5599</v>
      </c>
    </row>
    <row r="5485" spans="1:9" x14ac:dyDescent="0.3">
      <c r="A5485" t="s">
        <v>10117</v>
      </c>
      <c r="B5485" t="s">
        <v>9</v>
      </c>
      <c r="C5485">
        <v>7648876604</v>
      </c>
      <c r="D5485" s="2">
        <v>1</v>
      </c>
      <c r="E5485" t="str">
        <f>"4574674200907640"</f>
        <v>4574674200907640</v>
      </c>
      <c r="F5485" t="str">
        <f>"969"</f>
        <v>969</v>
      </c>
      <c r="G5485">
        <v>1</v>
      </c>
      <c r="H5485">
        <v>2023</v>
      </c>
      <c r="I5485" t="s">
        <v>5600</v>
      </c>
    </row>
    <row r="5486" spans="1:9" x14ac:dyDescent="0.3">
      <c r="A5486" t="s">
        <v>10117</v>
      </c>
      <c r="B5486" t="s">
        <v>9</v>
      </c>
      <c r="C5486">
        <v>7648876604</v>
      </c>
      <c r="D5486" s="2">
        <v>1</v>
      </c>
      <c r="E5486" t="str">
        <f>"4574674200907715"</f>
        <v>4574674200907715</v>
      </c>
      <c r="F5486" t="str">
        <f>"304"</f>
        <v>304</v>
      </c>
      <c r="G5486">
        <v>1</v>
      </c>
      <c r="H5486">
        <v>2023</v>
      </c>
      <c r="I5486" t="s">
        <v>5601</v>
      </c>
    </row>
    <row r="5487" spans="1:9" x14ac:dyDescent="0.3">
      <c r="A5487" t="s">
        <v>10117</v>
      </c>
      <c r="B5487" t="s">
        <v>9</v>
      </c>
      <c r="C5487">
        <v>7648876604</v>
      </c>
      <c r="D5487" s="2">
        <v>1</v>
      </c>
      <c r="E5487" t="str">
        <f>"4574674200907707"</f>
        <v>4574674200907707</v>
      </c>
      <c r="F5487" t="str">
        <f>"373"</f>
        <v>373</v>
      </c>
      <c r="G5487">
        <v>1</v>
      </c>
      <c r="H5487">
        <v>2023</v>
      </c>
      <c r="I5487" t="s">
        <v>5602</v>
      </c>
    </row>
    <row r="5488" spans="1:9" x14ac:dyDescent="0.3">
      <c r="A5488" t="s">
        <v>10118</v>
      </c>
      <c r="B5488" t="s">
        <v>10</v>
      </c>
      <c r="C5488">
        <v>7648876604</v>
      </c>
      <c r="D5488" s="2">
        <v>1</v>
      </c>
      <c r="E5488" t="str">
        <f>"4574674200907756"</f>
        <v>4574674200907756</v>
      </c>
      <c r="F5488" t="str">
        <f>"699"</f>
        <v>699</v>
      </c>
      <c r="G5488">
        <v>1</v>
      </c>
      <c r="H5488">
        <v>2023</v>
      </c>
      <c r="I5488" t="s">
        <v>5603</v>
      </c>
    </row>
    <row r="5489" spans="1:9" x14ac:dyDescent="0.3">
      <c r="A5489" t="s">
        <v>10118</v>
      </c>
      <c r="B5489" t="s">
        <v>10</v>
      </c>
      <c r="C5489">
        <v>7648876604</v>
      </c>
      <c r="D5489" s="2">
        <v>1</v>
      </c>
      <c r="E5489" t="str">
        <f>"4574674200907764"</f>
        <v>4574674200907764</v>
      </c>
      <c r="F5489" t="str">
        <f>"541"</f>
        <v>541</v>
      </c>
      <c r="G5489">
        <v>1</v>
      </c>
      <c r="H5489">
        <v>2023</v>
      </c>
      <c r="I5489" t="s">
        <v>5604</v>
      </c>
    </row>
    <row r="5490" spans="1:9" x14ac:dyDescent="0.3">
      <c r="A5490" t="s">
        <v>10118</v>
      </c>
      <c r="B5490" t="s">
        <v>10</v>
      </c>
      <c r="C5490">
        <v>7648876604</v>
      </c>
      <c r="D5490" s="2">
        <v>1</v>
      </c>
      <c r="E5490" t="str">
        <f>"4574674200907780"</f>
        <v>4574674200907780</v>
      </c>
      <c r="F5490" t="str">
        <f>"265"</f>
        <v>265</v>
      </c>
      <c r="G5490">
        <v>1</v>
      </c>
      <c r="H5490">
        <v>2023</v>
      </c>
      <c r="I5490" t="s">
        <v>5605</v>
      </c>
    </row>
    <row r="5491" spans="1:9" x14ac:dyDescent="0.3">
      <c r="A5491" t="s">
        <v>10118</v>
      </c>
      <c r="B5491" t="s">
        <v>10</v>
      </c>
      <c r="C5491">
        <v>7648876604</v>
      </c>
      <c r="D5491" s="2">
        <v>1</v>
      </c>
      <c r="E5491" t="str">
        <f>"4574674200907848"</f>
        <v>4574674200907848</v>
      </c>
      <c r="F5491" t="str">
        <f>"101"</f>
        <v>101</v>
      </c>
      <c r="G5491">
        <v>1</v>
      </c>
      <c r="H5491">
        <v>2023</v>
      </c>
      <c r="I5491" t="s">
        <v>5606</v>
      </c>
    </row>
    <row r="5492" spans="1:9" x14ac:dyDescent="0.3">
      <c r="A5492" t="s">
        <v>10118</v>
      </c>
      <c r="B5492" t="s">
        <v>10</v>
      </c>
      <c r="C5492">
        <v>7648876604</v>
      </c>
      <c r="D5492" s="2">
        <v>1</v>
      </c>
      <c r="E5492" t="str">
        <f>"4574674200907863"</f>
        <v>4574674200907863</v>
      </c>
      <c r="F5492" t="str">
        <f>"856"</f>
        <v>856</v>
      </c>
      <c r="G5492">
        <v>1</v>
      </c>
      <c r="H5492">
        <v>2023</v>
      </c>
      <c r="I5492" t="s">
        <v>5607</v>
      </c>
    </row>
    <row r="5493" spans="1:9" x14ac:dyDescent="0.3">
      <c r="A5493" t="s">
        <v>10118</v>
      </c>
      <c r="B5493" t="s">
        <v>10</v>
      </c>
      <c r="C5493">
        <v>7648876604</v>
      </c>
      <c r="D5493" s="2">
        <v>1</v>
      </c>
      <c r="E5493" t="str">
        <f>"4574674200908010"</f>
        <v>4574674200908010</v>
      </c>
      <c r="F5493" t="str">
        <f>"597"</f>
        <v>597</v>
      </c>
      <c r="G5493">
        <v>1</v>
      </c>
      <c r="H5493">
        <v>2023</v>
      </c>
      <c r="I5493" t="s">
        <v>5608</v>
      </c>
    </row>
    <row r="5494" spans="1:9" x14ac:dyDescent="0.3">
      <c r="A5494" t="s">
        <v>10118</v>
      </c>
      <c r="B5494" t="s">
        <v>10</v>
      </c>
      <c r="C5494">
        <v>7648876604</v>
      </c>
      <c r="D5494" s="2">
        <v>1</v>
      </c>
      <c r="E5494" t="str">
        <f>"4574674200908028"</f>
        <v>4574674200908028</v>
      </c>
      <c r="F5494" t="str">
        <f>"836"</f>
        <v>836</v>
      </c>
      <c r="G5494">
        <v>1</v>
      </c>
      <c r="H5494">
        <v>2023</v>
      </c>
      <c r="I5494" t="s">
        <v>5609</v>
      </c>
    </row>
    <row r="5495" spans="1:9" x14ac:dyDescent="0.3">
      <c r="A5495" t="s">
        <v>10118</v>
      </c>
      <c r="B5495" t="s">
        <v>10</v>
      </c>
      <c r="C5495">
        <v>7648876604</v>
      </c>
      <c r="D5495" s="2">
        <v>1</v>
      </c>
      <c r="E5495" t="str">
        <f>"4574674200907913"</f>
        <v>4574674200907913</v>
      </c>
      <c r="F5495" t="str">
        <f>"662"</f>
        <v>662</v>
      </c>
      <c r="G5495">
        <v>1</v>
      </c>
      <c r="H5495">
        <v>2023</v>
      </c>
      <c r="I5495" t="s">
        <v>5610</v>
      </c>
    </row>
    <row r="5496" spans="1:9" x14ac:dyDescent="0.3">
      <c r="A5496" t="s">
        <v>10118</v>
      </c>
      <c r="B5496" t="s">
        <v>10</v>
      </c>
      <c r="C5496">
        <v>7648876604</v>
      </c>
      <c r="D5496" s="2">
        <v>1</v>
      </c>
      <c r="E5496" t="str">
        <f>"4574674200907947"</f>
        <v>4574674200907947</v>
      </c>
      <c r="F5496" t="str">
        <f>"082"</f>
        <v>082</v>
      </c>
      <c r="G5496">
        <v>1</v>
      </c>
      <c r="H5496">
        <v>2023</v>
      </c>
      <c r="I5496" t="s">
        <v>5611</v>
      </c>
    </row>
    <row r="5497" spans="1:9" x14ac:dyDescent="0.3">
      <c r="A5497" t="s">
        <v>10118</v>
      </c>
      <c r="B5497" t="s">
        <v>10</v>
      </c>
      <c r="C5497">
        <v>7648876604</v>
      </c>
      <c r="D5497" s="2">
        <v>1</v>
      </c>
      <c r="E5497" t="str">
        <f>"4574674200907996"</f>
        <v>4574674200907996</v>
      </c>
      <c r="F5497" t="str">
        <f>"204"</f>
        <v>204</v>
      </c>
      <c r="G5497">
        <v>1</v>
      </c>
      <c r="H5497">
        <v>2023</v>
      </c>
      <c r="I5497" t="s">
        <v>5612</v>
      </c>
    </row>
    <row r="5498" spans="1:9" x14ac:dyDescent="0.3">
      <c r="A5498" t="s">
        <v>10119</v>
      </c>
      <c r="B5498" t="s">
        <v>11</v>
      </c>
      <c r="C5498">
        <v>7648876604</v>
      </c>
      <c r="D5498" s="2">
        <v>1</v>
      </c>
      <c r="E5498" t="str">
        <f>"4574674200908218"</f>
        <v>4574674200908218</v>
      </c>
      <c r="F5498" t="str">
        <f>"553"</f>
        <v>553</v>
      </c>
      <c r="G5498">
        <v>1</v>
      </c>
      <c r="H5498">
        <v>2023</v>
      </c>
      <c r="I5498" t="s">
        <v>5613</v>
      </c>
    </row>
    <row r="5499" spans="1:9" x14ac:dyDescent="0.3">
      <c r="A5499" t="s">
        <v>10119</v>
      </c>
      <c r="B5499" t="s">
        <v>11</v>
      </c>
      <c r="C5499">
        <v>7648876604</v>
      </c>
      <c r="D5499" s="2">
        <v>1</v>
      </c>
      <c r="E5499" t="str">
        <f>"4574674200908283"</f>
        <v>4574674200908283</v>
      </c>
      <c r="F5499" t="str">
        <f>"458"</f>
        <v>458</v>
      </c>
      <c r="G5499">
        <v>1</v>
      </c>
      <c r="H5499">
        <v>2023</v>
      </c>
      <c r="I5499" t="s">
        <v>5614</v>
      </c>
    </row>
    <row r="5500" spans="1:9" x14ac:dyDescent="0.3">
      <c r="A5500" t="s">
        <v>10119</v>
      </c>
      <c r="B5500" t="s">
        <v>11</v>
      </c>
      <c r="C5500">
        <v>7648876604</v>
      </c>
      <c r="D5500" s="2">
        <v>1</v>
      </c>
      <c r="E5500" t="str">
        <f>"4574674200908309"</f>
        <v>4574674200908309</v>
      </c>
      <c r="F5500" t="str">
        <f>"899"</f>
        <v>899</v>
      </c>
      <c r="G5500">
        <v>1</v>
      </c>
      <c r="H5500">
        <v>2023</v>
      </c>
      <c r="I5500" t="s">
        <v>5615</v>
      </c>
    </row>
    <row r="5501" spans="1:9" x14ac:dyDescent="0.3">
      <c r="A5501" t="s">
        <v>10119</v>
      </c>
      <c r="B5501" t="s">
        <v>11</v>
      </c>
      <c r="C5501">
        <v>7648876604</v>
      </c>
      <c r="D5501" s="2">
        <v>1</v>
      </c>
      <c r="E5501" t="str">
        <f>"4574674200908317"</f>
        <v>4574674200908317</v>
      </c>
      <c r="F5501" t="str">
        <f>"047"</f>
        <v>047</v>
      </c>
      <c r="G5501">
        <v>1</v>
      </c>
      <c r="H5501">
        <v>2023</v>
      </c>
      <c r="I5501" t="s">
        <v>5616</v>
      </c>
    </row>
    <row r="5502" spans="1:9" x14ac:dyDescent="0.3">
      <c r="A5502" t="s">
        <v>10119</v>
      </c>
      <c r="B5502" t="s">
        <v>11</v>
      </c>
      <c r="C5502">
        <v>7648876604</v>
      </c>
      <c r="D5502" s="2">
        <v>1</v>
      </c>
      <c r="E5502" t="str">
        <f>"4574674200908127"</f>
        <v>4574674200908127</v>
      </c>
      <c r="F5502" t="str">
        <f>"400"</f>
        <v>400</v>
      </c>
      <c r="G5502">
        <v>1</v>
      </c>
      <c r="H5502">
        <v>2023</v>
      </c>
      <c r="I5502" t="s">
        <v>5617</v>
      </c>
    </row>
    <row r="5503" spans="1:9" x14ac:dyDescent="0.3">
      <c r="A5503" t="s">
        <v>10119</v>
      </c>
      <c r="B5503" t="s">
        <v>11</v>
      </c>
      <c r="C5503">
        <v>7648876604</v>
      </c>
      <c r="D5503" s="2">
        <v>1</v>
      </c>
      <c r="E5503" t="str">
        <f>"4574674200908341"</f>
        <v>4574674200908341</v>
      </c>
      <c r="F5503" t="str">
        <f>"732"</f>
        <v>732</v>
      </c>
      <c r="G5503">
        <v>1</v>
      </c>
      <c r="H5503">
        <v>2023</v>
      </c>
      <c r="I5503" t="s">
        <v>5618</v>
      </c>
    </row>
    <row r="5504" spans="1:9" x14ac:dyDescent="0.3">
      <c r="A5504" t="s">
        <v>10119</v>
      </c>
      <c r="B5504" t="s">
        <v>11</v>
      </c>
      <c r="C5504">
        <v>7648876604</v>
      </c>
      <c r="D5504" s="2">
        <v>1</v>
      </c>
      <c r="E5504" t="str">
        <f>"4574674200908358"</f>
        <v>4574674200908358</v>
      </c>
      <c r="F5504" t="str">
        <f>"428"</f>
        <v>428</v>
      </c>
      <c r="G5504">
        <v>1</v>
      </c>
      <c r="H5504">
        <v>2023</v>
      </c>
      <c r="I5504" t="s">
        <v>5619</v>
      </c>
    </row>
    <row r="5505" spans="1:9" x14ac:dyDescent="0.3">
      <c r="A5505" t="s">
        <v>10119</v>
      </c>
      <c r="B5505" t="s">
        <v>11</v>
      </c>
      <c r="C5505">
        <v>7648876604</v>
      </c>
      <c r="D5505" s="2">
        <v>1</v>
      </c>
      <c r="E5505" t="str">
        <f>"4574674200908481"</f>
        <v>4574674200908481</v>
      </c>
      <c r="F5505" t="str">
        <f>"330"</f>
        <v>330</v>
      </c>
      <c r="G5505">
        <v>1</v>
      </c>
      <c r="H5505">
        <v>2023</v>
      </c>
      <c r="I5505" t="s">
        <v>5620</v>
      </c>
    </row>
    <row r="5506" spans="1:9" x14ac:dyDescent="0.3">
      <c r="A5506" t="s">
        <v>10119</v>
      </c>
      <c r="B5506" t="s">
        <v>11</v>
      </c>
      <c r="C5506">
        <v>7648876604</v>
      </c>
      <c r="D5506" s="2">
        <v>1</v>
      </c>
      <c r="E5506" t="str">
        <f>"4574674200908465"</f>
        <v>4574674200908465</v>
      </c>
      <c r="F5506" t="str">
        <f>"164"</f>
        <v>164</v>
      </c>
      <c r="G5506">
        <v>1</v>
      </c>
      <c r="H5506">
        <v>2023</v>
      </c>
      <c r="I5506" t="s">
        <v>5621</v>
      </c>
    </row>
    <row r="5507" spans="1:9" x14ac:dyDescent="0.3">
      <c r="A5507" t="s">
        <v>10119</v>
      </c>
      <c r="B5507" t="s">
        <v>11</v>
      </c>
      <c r="C5507">
        <v>7648876604</v>
      </c>
      <c r="D5507" s="2">
        <v>1</v>
      </c>
      <c r="E5507" t="str">
        <f>"4574674200908499"</f>
        <v>4574674200908499</v>
      </c>
      <c r="F5507" t="str">
        <f>"857"</f>
        <v>857</v>
      </c>
      <c r="G5507">
        <v>1</v>
      </c>
      <c r="H5507">
        <v>2023</v>
      </c>
      <c r="I5507" t="s">
        <v>5622</v>
      </c>
    </row>
    <row r="5508" spans="1:9" x14ac:dyDescent="0.3">
      <c r="A5508" t="s">
        <v>10120</v>
      </c>
      <c r="B5508" t="s">
        <v>12</v>
      </c>
      <c r="C5508">
        <v>7648876604</v>
      </c>
      <c r="D5508" s="2">
        <v>1</v>
      </c>
      <c r="E5508" t="str">
        <f>"4574674200908648"</f>
        <v>4574674200908648</v>
      </c>
      <c r="F5508" t="str">
        <f>"762"</f>
        <v>762</v>
      </c>
      <c r="G5508">
        <v>1</v>
      </c>
      <c r="H5508">
        <v>2023</v>
      </c>
      <c r="I5508" t="s">
        <v>5623</v>
      </c>
    </row>
    <row r="5509" spans="1:9" x14ac:dyDescent="0.3">
      <c r="A5509" t="s">
        <v>10120</v>
      </c>
      <c r="B5509" t="s">
        <v>12</v>
      </c>
      <c r="C5509">
        <v>7648876604</v>
      </c>
      <c r="D5509" s="2">
        <v>1</v>
      </c>
      <c r="E5509" t="str">
        <f>"4574674200908531"</f>
        <v>4574674200908531</v>
      </c>
      <c r="F5509" t="str">
        <f>"516"</f>
        <v>516</v>
      </c>
      <c r="G5509">
        <v>1</v>
      </c>
      <c r="H5509">
        <v>2023</v>
      </c>
      <c r="I5509" t="s">
        <v>5624</v>
      </c>
    </row>
    <row r="5510" spans="1:9" x14ac:dyDescent="0.3">
      <c r="A5510" t="s">
        <v>10120</v>
      </c>
      <c r="B5510" t="s">
        <v>12</v>
      </c>
      <c r="C5510">
        <v>7648876604</v>
      </c>
      <c r="D5510" s="2">
        <v>1</v>
      </c>
      <c r="E5510" t="str">
        <f>"4574674200908689"</f>
        <v>4574674200908689</v>
      </c>
      <c r="F5510" t="str">
        <f>"018"</f>
        <v>018</v>
      </c>
      <c r="G5510">
        <v>1</v>
      </c>
      <c r="H5510">
        <v>2023</v>
      </c>
      <c r="I5510" t="s">
        <v>5625</v>
      </c>
    </row>
    <row r="5511" spans="1:9" x14ac:dyDescent="0.3">
      <c r="A5511" t="s">
        <v>10120</v>
      </c>
      <c r="B5511" t="s">
        <v>12</v>
      </c>
      <c r="C5511">
        <v>7648876604</v>
      </c>
      <c r="D5511" s="2">
        <v>1</v>
      </c>
      <c r="E5511" t="str">
        <f>"4574674200908549"</f>
        <v>4574674200908549</v>
      </c>
      <c r="F5511" t="str">
        <f>"171"</f>
        <v>171</v>
      </c>
      <c r="G5511">
        <v>1</v>
      </c>
      <c r="H5511">
        <v>2023</v>
      </c>
      <c r="I5511" t="s">
        <v>5626</v>
      </c>
    </row>
    <row r="5512" spans="1:9" x14ac:dyDescent="0.3">
      <c r="A5512" t="s">
        <v>10120</v>
      </c>
      <c r="B5512" t="s">
        <v>12</v>
      </c>
      <c r="C5512">
        <v>7648876604</v>
      </c>
      <c r="D5512" s="2">
        <v>1</v>
      </c>
      <c r="E5512" t="str">
        <f>"4574674200908572"</f>
        <v>4574674200908572</v>
      </c>
      <c r="F5512" t="str">
        <f>"038"</f>
        <v>038</v>
      </c>
      <c r="G5512">
        <v>1</v>
      </c>
      <c r="H5512">
        <v>2023</v>
      </c>
      <c r="I5512" t="s">
        <v>5627</v>
      </c>
    </row>
    <row r="5513" spans="1:9" x14ac:dyDescent="0.3">
      <c r="A5513" t="s">
        <v>10120</v>
      </c>
      <c r="B5513" t="s">
        <v>12</v>
      </c>
      <c r="C5513">
        <v>7648876604</v>
      </c>
      <c r="D5513" s="2">
        <v>1</v>
      </c>
      <c r="E5513" t="str">
        <f>"4574674200908820"</f>
        <v>4574674200908820</v>
      </c>
      <c r="F5513" t="str">
        <f>"506"</f>
        <v>506</v>
      </c>
      <c r="G5513">
        <v>1</v>
      </c>
      <c r="H5513">
        <v>2023</v>
      </c>
      <c r="I5513" t="s">
        <v>5628</v>
      </c>
    </row>
    <row r="5514" spans="1:9" x14ac:dyDescent="0.3">
      <c r="A5514" t="s">
        <v>10120</v>
      </c>
      <c r="B5514" t="s">
        <v>12</v>
      </c>
      <c r="C5514">
        <v>7648876604</v>
      </c>
      <c r="D5514" s="2">
        <v>1</v>
      </c>
      <c r="E5514" t="str">
        <f>"4574674200908838"</f>
        <v>4574674200908838</v>
      </c>
      <c r="F5514" t="str">
        <f>"076"</f>
        <v>076</v>
      </c>
      <c r="G5514">
        <v>1</v>
      </c>
      <c r="H5514">
        <v>2023</v>
      </c>
      <c r="I5514" t="s">
        <v>5629</v>
      </c>
    </row>
    <row r="5515" spans="1:9" x14ac:dyDescent="0.3">
      <c r="A5515" t="s">
        <v>10120</v>
      </c>
      <c r="B5515" t="s">
        <v>12</v>
      </c>
      <c r="C5515">
        <v>7648876604</v>
      </c>
      <c r="D5515" s="2">
        <v>1</v>
      </c>
      <c r="E5515" t="str">
        <f>"4574674200908895"</f>
        <v>4574674200908895</v>
      </c>
      <c r="F5515" t="str">
        <f>"653"</f>
        <v>653</v>
      </c>
      <c r="G5515">
        <v>1</v>
      </c>
      <c r="H5515">
        <v>2023</v>
      </c>
      <c r="I5515" t="s">
        <v>5630</v>
      </c>
    </row>
    <row r="5516" spans="1:9" x14ac:dyDescent="0.3">
      <c r="A5516" t="s">
        <v>10120</v>
      </c>
      <c r="B5516" t="s">
        <v>12</v>
      </c>
      <c r="C5516">
        <v>7648876604</v>
      </c>
      <c r="D5516" s="2">
        <v>1</v>
      </c>
      <c r="E5516" t="str">
        <f>"4574674200908903"</f>
        <v>4574674200908903</v>
      </c>
      <c r="F5516" t="str">
        <f>"621"</f>
        <v>621</v>
      </c>
      <c r="G5516">
        <v>1</v>
      </c>
      <c r="H5516">
        <v>2023</v>
      </c>
      <c r="I5516" t="s">
        <v>5631</v>
      </c>
    </row>
    <row r="5517" spans="1:9" x14ac:dyDescent="0.3">
      <c r="A5517" t="s">
        <v>10120</v>
      </c>
      <c r="B5517" t="s">
        <v>12</v>
      </c>
      <c r="C5517">
        <v>7648876604</v>
      </c>
      <c r="D5517" s="2">
        <v>1</v>
      </c>
      <c r="E5517" t="str">
        <f>"4574674200908929"</f>
        <v>4574674200908929</v>
      </c>
      <c r="F5517" t="str">
        <f>"653"</f>
        <v>653</v>
      </c>
      <c r="G5517">
        <v>1</v>
      </c>
      <c r="H5517">
        <v>2023</v>
      </c>
      <c r="I5517" t="s">
        <v>5632</v>
      </c>
    </row>
    <row r="5518" spans="1:9" x14ac:dyDescent="0.3">
      <c r="A5518" t="s">
        <v>10121</v>
      </c>
      <c r="B5518" t="s">
        <v>13</v>
      </c>
      <c r="C5518">
        <v>7648876604</v>
      </c>
      <c r="D5518" s="2">
        <v>1</v>
      </c>
      <c r="E5518" t="str">
        <f>"4574674200908937"</f>
        <v>4574674200908937</v>
      </c>
      <c r="F5518" t="str">
        <f>"538"</f>
        <v>538</v>
      </c>
      <c r="G5518">
        <v>1</v>
      </c>
      <c r="H5518">
        <v>2023</v>
      </c>
      <c r="I5518" t="s">
        <v>5633</v>
      </c>
    </row>
    <row r="5519" spans="1:9" x14ac:dyDescent="0.3">
      <c r="A5519" t="s">
        <v>10121</v>
      </c>
      <c r="B5519" t="s">
        <v>13</v>
      </c>
      <c r="C5519">
        <v>7648876604</v>
      </c>
      <c r="D5519" s="2">
        <v>1</v>
      </c>
      <c r="E5519" t="str">
        <f>"4574674200909000"</f>
        <v>4574674200909000</v>
      </c>
      <c r="F5519" t="str">
        <f>"508"</f>
        <v>508</v>
      </c>
      <c r="G5519">
        <v>1</v>
      </c>
      <c r="H5519">
        <v>2023</v>
      </c>
      <c r="I5519" t="s">
        <v>5634</v>
      </c>
    </row>
    <row r="5520" spans="1:9" x14ac:dyDescent="0.3">
      <c r="A5520" t="s">
        <v>10121</v>
      </c>
      <c r="B5520" t="s">
        <v>13</v>
      </c>
      <c r="C5520">
        <v>7648876604</v>
      </c>
      <c r="D5520" s="2">
        <v>1</v>
      </c>
      <c r="E5520" t="str">
        <f>"4574674200908754"</f>
        <v>4574674200908754</v>
      </c>
      <c r="F5520" t="str">
        <f>"205"</f>
        <v>205</v>
      </c>
      <c r="G5520">
        <v>1</v>
      </c>
      <c r="H5520">
        <v>2023</v>
      </c>
      <c r="I5520" t="s">
        <v>5635</v>
      </c>
    </row>
    <row r="5521" spans="1:9" x14ac:dyDescent="0.3">
      <c r="A5521" t="s">
        <v>10121</v>
      </c>
      <c r="B5521" t="s">
        <v>13</v>
      </c>
      <c r="C5521">
        <v>7648876604</v>
      </c>
      <c r="D5521" s="2">
        <v>1</v>
      </c>
      <c r="E5521" t="str">
        <f>"4574674200909208"</f>
        <v>4574674200909208</v>
      </c>
      <c r="F5521" t="str">
        <f>"118"</f>
        <v>118</v>
      </c>
      <c r="G5521">
        <v>1</v>
      </c>
      <c r="H5521">
        <v>2023</v>
      </c>
      <c r="I5521" t="s">
        <v>5636</v>
      </c>
    </row>
    <row r="5522" spans="1:9" x14ac:dyDescent="0.3">
      <c r="A5522" t="s">
        <v>10121</v>
      </c>
      <c r="B5522" t="s">
        <v>13</v>
      </c>
      <c r="C5522">
        <v>7648876604</v>
      </c>
      <c r="D5522" s="2">
        <v>1</v>
      </c>
      <c r="E5522" t="str">
        <f>"4574674200909067"</f>
        <v>4574674200909067</v>
      </c>
      <c r="F5522" t="str">
        <f>"206"</f>
        <v>206</v>
      </c>
      <c r="G5522">
        <v>1</v>
      </c>
      <c r="H5522">
        <v>2023</v>
      </c>
      <c r="I5522" t="s">
        <v>5637</v>
      </c>
    </row>
    <row r="5523" spans="1:9" x14ac:dyDescent="0.3">
      <c r="A5523" t="s">
        <v>10121</v>
      </c>
      <c r="B5523" t="s">
        <v>13</v>
      </c>
      <c r="C5523">
        <v>7648876604</v>
      </c>
      <c r="D5523" s="2">
        <v>1</v>
      </c>
      <c r="E5523" t="str">
        <f>"4574674200909059"</f>
        <v>4574674200909059</v>
      </c>
      <c r="F5523" t="str">
        <f>"727"</f>
        <v>727</v>
      </c>
      <c r="G5523">
        <v>1</v>
      </c>
      <c r="H5523">
        <v>2023</v>
      </c>
      <c r="I5523" t="s">
        <v>5638</v>
      </c>
    </row>
    <row r="5524" spans="1:9" x14ac:dyDescent="0.3">
      <c r="A5524" t="s">
        <v>10121</v>
      </c>
      <c r="B5524" t="s">
        <v>13</v>
      </c>
      <c r="C5524">
        <v>7648876604</v>
      </c>
      <c r="D5524" s="2">
        <v>1</v>
      </c>
      <c r="E5524" t="str">
        <f>"4574674200909075"</f>
        <v>4574674200909075</v>
      </c>
      <c r="F5524" t="str">
        <f>"380"</f>
        <v>380</v>
      </c>
      <c r="G5524">
        <v>1</v>
      </c>
      <c r="H5524">
        <v>2023</v>
      </c>
      <c r="I5524" t="s">
        <v>5639</v>
      </c>
    </row>
    <row r="5525" spans="1:9" x14ac:dyDescent="0.3">
      <c r="A5525" t="s">
        <v>10121</v>
      </c>
      <c r="B5525" t="s">
        <v>13</v>
      </c>
      <c r="C5525">
        <v>7648876604</v>
      </c>
      <c r="D5525" s="2">
        <v>1</v>
      </c>
      <c r="E5525" t="str">
        <f>"4574674200909091"</f>
        <v>4574674200909091</v>
      </c>
      <c r="F5525" t="str">
        <f>"426"</f>
        <v>426</v>
      </c>
      <c r="G5525">
        <v>1</v>
      </c>
      <c r="H5525">
        <v>2023</v>
      </c>
      <c r="I5525" t="s">
        <v>5640</v>
      </c>
    </row>
    <row r="5526" spans="1:9" x14ac:dyDescent="0.3">
      <c r="A5526" t="s">
        <v>10121</v>
      </c>
      <c r="B5526" t="s">
        <v>13</v>
      </c>
      <c r="C5526">
        <v>7648876604</v>
      </c>
      <c r="D5526" s="2">
        <v>1</v>
      </c>
      <c r="E5526" t="str">
        <f>"4574674200909158"</f>
        <v>4574674200909158</v>
      </c>
      <c r="F5526" t="str">
        <f>"834"</f>
        <v>834</v>
      </c>
      <c r="G5526">
        <v>1</v>
      </c>
      <c r="H5526">
        <v>2023</v>
      </c>
      <c r="I5526" t="s">
        <v>5641</v>
      </c>
    </row>
    <row r="5527" spans="1:9" x14ac:dyDescent="0.3">
      <c r="A5527" t="s">
        <v>10121</v>
      </c>
      <c r="B5527" t="s">
        <v>13</v>
      </c>
      <c r="C5527">
        <v>7648876604</v>
      </c>
      <c r="D5527" s="2">
        <v>1</v>
      </c>
      <c r="E5527" t="str">
        <f>"4574674200909422"</f>
        <v>4574674200909422</v>
      </c>
      <c r="F5527" t="str">
        <f>"519"</f>
        <v>519</v>
      </c>
      <c r="G5527">
        <v>1</v>
      </c>
      <c r="H5527">
        <v>2023</v>
      </c>
      <c r="I5527" t="s">
        <v>5642</v>
      </c>
    </row>
    <row r="5528" spans="1:9" x14ac:dyDescent="0.3">
      <c r="A5528" t="s">
        <v>10122</v>
      </c>
      <c r="B5528" t="s">
        <v>14</v>
      </c>
      <c r="C5528">
        <v>7648876604</v>
      </c>
      <c r="D5528" s="2">
        <v>1</v>
      </c>
      <c r="E5528" t="str">
        <f>"4574674200909414"</f>
        <v>4574674200909414</v>
      </c>
      <c r="F5528" t="str">
        <f>"062"</f>
        <v>062</v>
      </c>
      <c r="G5528">
        <v>1</v>
      </c>
      <c r="H5528">
        <v>2023</v>
      </c>
      <c r="I5528" t="s">
        <v>5643</v>
      </c>
    </row>
    <row r="5529" spans="1:9" x14ac:dyDescent="0.3">
      <c r="A5529" t="s">
        <v>10122</v>
      </c>
      <c r="B5529" t="s">
        <v>14</v>
      </c>
      <c r="C5529">
        <v>7648876604</v>
      </c>
      <c r="D5529" s="2">
        <v>1</v>
      </c>
      <c r="E5529" t="str">
        <f>"4574674200909430"</f>
        <v>4574674200909430</v>
      </c>
      <c r="F5529" t="str">
        <f>"639"</f>
        <v>639</v>
      </c>
      <c r="G5529">
        <v>1</v>
      </c>
      <c r="H5529">
        <v>2023</v>
      </c>
      <c r="I5529" t="s">
        <v>5644</v>
      </c>
    </row>
    <row r="5530" spans="1:9" x14ac:dyDescent="0.3">
      <c r="A5530" t="s">
        <v>10122</v>
      </c>
      <c r="B5530" t="s">
        <v>14</v>
      </c>
      <c r="C5530">
        <v>7648876604</v>
      </c>
      <c r="D5530" s="2">
        <v>1</v>
      </c>
      <c r="E5530" t="str">
        <f>"4574674200909455"</f>
        <v>4574674200909455</v>
      </c>
      <c r="F5530" t="str">
        <f>"767"</f>
        <v>767</v>
      </c>
      <c r="G5530">
        <v>1</v>
      </c>
      <c r="H5530">
        <v>2023</v>
      </c>
      <c r="I5530" t="s">
        <v>5645</v>
      </c>
    </row>
    <row r="5531" spans="1:9" x14ac:dyDescent="0.3">
      <c r="A5531" t="s">
        <v>10122</v>
      </c>
      <c r="B5531" t="s">
        <v>14</v>
      </c>
      <c r="C5531">
        <v>7648876604</v>
      </c>
      <c r="D5531" s="2">
        <v>1</v>
      </c>
      <c r="E5531" t="str">
        <f>"4574674200909281"</f>
        <v>4574674200909281</v>
      </c>
      <c r="F5531" t="str">
        <f>"579"</f>
        <v>579</v>
      </c>
      <c r="G5531">
        <v>1</v>
      </c>
      <c r="H5531">
        <v>2023</v>
      </c>
      <c r="I5531" t="s">
        <v>5646</v>
      </c>
    </row>
    <row r="5532" spans="1:9" x14ac:dyDescent="0.3">
      <c r="A5532" t="s">
        <v>10122</v>
      </c>
      <c r="B5532" t="s">
        <v>14</v>
      </c>
      <c r="C5532">
        <v>7648876604</v>
      </c>
      <c r="D5532" s="2">
        <v>1</v>
      </c>
      <c r="E5532" t="str">
        <f>"4574674200909299"</f>
        <v>4574674200909299</v>
      </c>
      <c r="F5532" t="str">
        <f>"284"</f>
        <v>284</v>
      </c>
      <c r="G5532">
        <v>1</v>
      </c>
      <c r="H5532">
        <v>2023</v>
      </c>
      <c r="I5532" t="s">
        <v>5647</v>
      </c>
    </row>
    <row r="5533" spans="1:9" x14ac:dyDescent="0.3">
      <c r="A5533" t="s">
        <v>10122</v>
      </c>
      <c r="B5533" t="s">
        <v>14</v>
      </c>
      <c r="C5533">
        <v>7648876604</v>
      </c>
      <c r="D5533" s="2">
        <v>1</v>
      </c>
      <c r="E5533" t="str">
        <f>"4574674200909513"</f>
        <v>4574674200909513</v>
      </c>
      <c r="F5533" t="str">
        <f>"731"</f>
        <v>731</v>
      </c>
      <c r="G5533">
        <v>1</v>
      </c>
      <c r="H5533">
        <v>2023</v>
      </c>
      <c r="I5533" t="s">
        <v>5648</v>
      </c>
    </row>
    <row r="5534" spans="1:9" x14ac:dyDescent="0.3">
      <c r="A5534" t="s">
        <v>10122</v>
      </c>
      <c r="B5534" t="s">
        <v>14</v>
      </c>
      <c r="C5534">
        <v>7648876604</v>
      </c>
      <c r="D5534" s="2">
        <v>1</v>
      </c>
      <c r="E5534" t="str">
        <f>"4574674200909562"</f>
        <v>4574674200909562</v>
      </c>
      <c r="F5534" t="str">
        <f>"586"</f>
        <v>586</v>
      </c>
      <c r="G5534">
        <v>1</v>
      </c>
      <c r="H5534">
        <v>2023</v>
      </c>
      <c r="I5534" t="s">
        <v>5649</v>
      </c>
    </row>
    <row r="5535" spans="1:9" x14ac:dyDescent="0.3">
      <c r="A5535" t="s">
        <v>10122</v>
      </c>
      <c r="B5535" t="s">
        <v>14</v>
      </c>
      <c r="C5535">
        <v>7648876604</v>
      </c>
      <c r="D5535" s="2">
        <v>1</v>
      </c>
      <c r="E5535" t="str">
        <f>"4574674200909588"</f>
        <v>4574674200909588</v>
      </c>
      <c r="F5535" t="str">
        <f>"977"</f>
        <v>977</v>
      </c>
      <c r="G5535">
        <v>1</v>
      </c>
      <c r="H5535">
        <v>2023</v>
      </c>
      <c r="I5535" t="s">
        <v>5650</v>
      </c>
    </row>
    <row r="5536" spans="1:9" x14ac:dyDescent="0.3">
      <c r="A5536" t="s">
        <v>10122</v>
      </c>
      <c r="B5536" t="s">
        <v>14</v>
      </c>
      <c r="C5536">
        <v>7648876604</v>
      </c>
      <c r="D5536" s="2">
        <v>1</v>
      </c>
      <c r="E5536" t="str">
        <f>"4574674200909612"</f>
        <v>4574674200909612</v>
      </c>
      <c r="F5536" t="str">
        <f>"978"</f>
        <v>978</v>
      </c>
      <c r="G5536">
        <v>1</v>
      </c>
      <c r="H5536">
        <v>2023</v>
      </c>
      <c r="I5536" t="s">
        <v>5651</v>
      </c>
    </row>
    <row r="5537" spans="1:9" x14ac:dyDescent="0.3">
      <c r="A5537" t="s">
        <v>10122</v>
      </c>
      <c r="B5537" t="s">
        <v>14</v>
      </c>
      <c r="C5537">
        <v>7648876604</v>
      </c>
      <c r="D5537" s="2">
        <v>1</v>
      </c>
      <c r="E5537" t="str">
        <f>"4574674200909620"</f>
        <v>4574674200909620</v>
      </c>
      <c r="F5537" t="str">
        <f>"439"</f>
        <v>439</v>
      </c>
      <c r="G5537">
        <v>1</v>
      </c>
      <c r="H5537">
        <v>2023</v>
      </c>
      <c r="I5537" t="s">
        <v>5652</v>
      </c>
    </row>
    <row r="5538" spans="1:9" x14ac:dyDescent="0.3">
      <c r="A5538" t="s">
        <v>10123</v>
      </c>
      <c r="B5538" t="s">
        <v>15</v>
      </c>
      <c r="C5538">
        <v>7648876604</v>
      </c>
      <c r="D5538" s="2">
        <v>1</v>
      </c>
      <c r="E5538" t="str">
        <f>"4574674200794683"</f>
        <v>4574674200794683</v>
      </c>
      <c r="F5538" t="str">
        <f>"984"</f>
        <v>984</v>
      </c>
      <c r="G5538">
        <v>1</v>
      </c>
      <c r="H5538">
        <v>2023</v>
      </c>
      <c r="I5538" t="s">
        <v>5653</v>
      </c>
    </row>
    <row r="5539" spans="1:9" x14ac:dyDescent="0.3">
      <c r="A5539" t="s">
        <v>10123</v>
      </c>
      <c r="B5539" t="s">
        <v>15</v>
      </c>
      <c r="C5539">
        <v>7648876604</v>
      </c>
      <c r="D5539" s="2">
        <v>1</v>
      </c>
      <c r="E5539" t="str">
        <f>"4574674200794782"</f>
        <v>4574674200794782</v>
      </c>
      <c r="F5539" t="str">
        <f>"760"</f>
        <v>760</v>
      </c>
      <c r="G5539">
        <v>1</v>
      </c>
      <c r="H5539">
        <v>2023</v>
      </c>
      <c r="I5539" t="s">
        <v>5654</v>
      </c>
    </row>
    <row r="5540" spans="1:9" x14ac:dyDescent="0.3">
      <c r="A5540" t="s">
        <v>10123</v>
      </c>
      <c r="B5540" t="s">
        <v>15</v>
      </c>
      <c r="C5540">
        <v>7648876604</v>
      </c>
      <c r="D5540" s="2">
        <v>1</v>
      </c>
      <c r="E5540" t="str">
        <f>"4574674200795409"</f>
        <v>4574674200795409</v>
      </c>
      <c r="F5540" t="str">
        <f>"037"</f>
        <v>037</v>
      </c>
      <c r="G5540">
        <v>1</v>
      </c>
      <c r="H5540">
        <v>2023</v>
      </c>
      <c r="I5540" t="s">
        <v>5655</v>
      </c>
    </row>
    <row r="5541" spans="1:9" x14ac:dyDescent="0.3">
      <c r="A5541" t="s">
        <v>10123</v>
      </c>
      <c r="B5541" t="s">
        <v>15</v>
      </c>
      <c r="C5541">
        <v>7648876604</v>
      </c>
      <c r="D5541" s="2">
        <v>1</v>
      </c>
      <c r="E5541" t="str">
        <f>"4574674200794758"</f>
        <v>4574674200794758</v>
      </c>
      <c r="F5541" t="str">
        <f>"053"</f>
        <v>053</v>
      </c>
      <c r="G5541">
        <v>1</v>
      </c>
      <c r="H5541">
        <v>2023</v>
      </c>
      <c r="I5541" t="s">
        <v>5656</v>
      </c>
    </row>
    <row r="5542" spans="1:9" x14ac:dyDescent="0.3">
      <c r="A5542" t="s">
        <v>10123</v>
      </c>
      <c r="B5542" t="s">
        <v>15</v>
      </c>
      <c r="C5542">
        <v>7648876604</v>
      </c>
      <c r="D5542" s="2">
        <v>1</v>
      </c>
      <c r="E5542" t="str">
        <f>"4574674200795391"</f>
        <v>4574674200795391</v>
      </c>
      <c r="F5542" t="str">
        <f>"583"</f>
        <v>583</v>
      </c>
      <c r="G5542">
        <v>1</v>
      </c>
      <c r="H5542">
        <v>2023</v>
      </c>
      <c r="I5542" t="s">
        <v>5657</v>
      </c>
    </row>
    <row r="5543" spans="1:9" x14ac:dyDescent="0.3">
      <c r="A5543" t="s">
        <v>10123</v>
      </c>
      <c r="B5543" t="s">
        <v>15</v>
      </c>
      <c r="C5543">
        <v>7648876604</v>
      </c>
      <c r="D5543" s="2">
        <v>1</v>
      </c>
      <c r="E5543" t="str">
        <f>"4574674200795425"</f>
        <v>4574674200795425</v>
      </c>
      <c r="F5543" t="str">
        <f>"437"</f>
        <v>437</v>
      </c>
      <c r="G5543">
        <v>1</v>
      </c>
      <c r="H5543">
        <v>2023</v>
      </c>
      <c r="I5543" t="s">
        <v>5658</v>
      </c>
    </row>
    <row r="5544" spans="1:9" x14ac:dyDescent="0.3">
      <c r="A5544" t="s">
        <v>10123</v>
      </c>
      <c r="B5544" t="s">
        <v>15</v>
      </c>
      <c r="C5544">
        <v>7648876604</v>
      </c>
      <c r="D5544" s="2">
        <v>1</v>
      </c>
      <c r="E5544" t="str">
        <f>"4574674200794790"</f>
        <v>4574674200794790</v>
      </c>
      <c r="F5544" t="str">
        <f>"719"</f>
        <v>719</v>
      </c>
      <c r="G5544">
        <v>1</v>
      </c>
      <c r="H5544">
        <v>2023</v>
      </c>
      <c r="I5544" t="s">
        <v>5659</v>
      </c>
    </row>
    <row r="5545" spans="1:9" x14ac:dyDescent="0.3">
      <c r="A5545" t="s">
        <v>10123</v>
      </c>
      <c r="B5545" t="s">
        <v>15</v>
      </c>
      <c r="C5545">
        <v>7648876604</v>
      </c>
      <c r="D5545" s="2">
        <v>1</v>
      </c>
      <c r="E5545" t="str">
        <f>"4574674200795417"</f>
        <v>4574674200795417</v>
      </c>
      <c r="F5545" t="str">
        <f>"181"</f>
        <v>181</v>
      </c>
      <c r="G5545">
        <v>1</v>
      </c>
      <c r="H5545">
        <v>2023</v>
      </c>
      <c r="I5545" t="s">
        <v>5660</v>
      </c>
    </row>
    <row r="5546" spans="1:9" x14ac:dyDescent="0.3">
      <c r="A5546" t="s">
        <v>10123</v>
      </c>
      <c r="B5546" t="s">
        <v>15</v>
      </c>
      <c r="C5546">
        <v>7648876604</v>
      </c>
      <c r="D5546" s="2">
        <v>1</v>
      </c>
      <c r="E5546" t="str">
        <f>"4574674200795755"</f>
        <v>4574674200795755</v>
      </c>
      <c r="F5546" t="str">
        <f>"135"</f>
        <v>135</v>
      </c>
      <c r="G5546">
        <v>1</v>
      </c>
      <c r="H5546">
        <v>2023</v>
      </c>
      <c r="I5546" t="s">
        <v>5661</v>
      </c>
    </row>
    <row r="5547" spans="1:9" x14ac:dyDescent="0.3">
      <c r="A5547" t="s">
        <v>10123</v>
      </c>
      <c r="B5547" t="s">
        <v>15</v>
      </c>
      <c r="C5547">
        <v>7648876604</v>
      </c>
      <c r="D5547" s="2">
        <v>1</v>
      </c>
      <c r="E5547" t="str">
        <f>"4574674200795490"</f>
        <v>4574674200795490</v>
      </c>
      <c r="F5547" t="str">
        <f>"891"</f>
        <v>891</v>
      </c>
      <c r="G5547">
        <v>1</v>
      </c>
      <c r="H5547">
        <v>2023</v>
      </c>
      <c r="I5547" t="s">
        <v>5662</v>
      </c>
    </row>
    <row r="5548" spans="1:9" x14ac:dyDescent="0.3">
      <c r="A5548" t="s">
        <v>10124</v>
      </c>
      <c r="B5548" t="s">
        <v>16</v>
      </c>
      <c r="C5548">
        <v>7648876604</v>
      </c>
      <c r="D5548" s="2">
        <v>1</v>
      </c>
      <c r="E5548" t="str">
        <f>"4574674200795482"</f>
        <v>4574674200795482</v>
      </c>
      <c r="F5548" t="str">
        <f>"417"</f>
        <v>417</v>
      </c>
      <c r="G5548">
        <v>1</v>
      </c>
      <c r="H5548">
        <v>2023</v>
      </c>
      <c r="I5548" t="s">
        <v>5663</v>
      </c>
    </row>
    <row r="5549" spans="1:9" x14ac:dyDescent="0.3">
      <c r="A5549" t="s">
        <v>10124</v>
      </c>
      <c r="B5549" t="s">
        <v>16</v>
      </c>
      <c r="C5549">
        <v>7648876604</v>
      </c>
      <c r="D5549" s="2">
        <v>1</v>
      </c>
      <c r="E5549" t="str">
        <f>"4574674200795516"</f>
        <v>4574674200795516</v>
      </c>
      <c r="F5549" t="str">
        <f>"072"</f>
        <v>072</v>
      </c>
      <c r="G5549">
        <v>1</v>
      </c>
      <c r="H5549">
        <v>2023</v>
      </c>
      <c r="I5549" t="s">
        <v>5664</v>
      </c>
    </row>
    <row r="5550" spans="1:9" x14ac:dyDescent="0.3">
      <c r="A5550" t="s">
        <v>10124</v>
      </c>
      <c r="B5550" t="s">
        <v>16</v>
      </c>
      <c r="C5550">
        <v>7648876604</v>
      </c>
      <c r="D5550" s="2">
        <v>1</v>
      </c>
      <c r="E5550" t="str">
        <f>"4574674200795524"</f>
        <v>4574674200795524</v>
      </c>
      <c r="F5550" t="str">
        <f>"335"</f>
        <v>335</v>
      </c>
      <c r="G5550">
        <v>1</v>
      </c>
      <c r="H5550">
        <v>2023</v>
      </c>
      <c r="I5550" t="s">
        <v>5665</v>
      </c>
    </row>
    <row r="5551" spans="1:9" x14ac:dyDescent="0.3">
      <c r="A5551" t="s">
        <v>10124</v>
      </c>
      <c r="B5551" t="s">
        <v>16</v>
      </c>
      <c r="C5551">
        <v>7648876604</v>
      </c>
      <c r="D5551" s="2">
        <v>1</v>
      </c>
      <c r="E5551" t="str">
        <f>"4574674200795508"</f>
        <v>4574674200795508</v>
      </c>
      <c r="F5551" t="str">
        <f>"580"</f>
        <v>580</v>
      </c>
      <c r="G5551">
        <v>1</v>
      </c>
      <c r="H5551">
        <v>2023</v>
      </c>
      <c r="I5551" t="s">
        <v>5666</v>
      </c>
    </row>
    <row r="5552" spans="1:9" x14ac:dyDescent="0.3">
      <c r="A5552" t="s">
        <v>10124</v>
      </c>
      <c r="B5552" t="s">
        <v>16</v>
      </c>
      <c r="C5552">
        <v>7648876604</v>
      </c>
      <c r="D5552" s="2">
        <v>1</v>
      </c>
      <c r="E5552" t="str">
        <f>"4574674200795540"</f>
        <v>4574674200795540</v>
      </c>
      <c r="F5552" t="str">
        <f>"193"</f>
        <v>193</v>
      </c>
      <c r="G5552">
        <v>1</v>
      </c>
      <c r="H5552">
        <v>2023</v>
      </c>
      <c r="I5552" t="s">
        <v>5667</v>
      </c>
    </row>
    <row r="5553" spans="1:9" x14ac:dyDescent="0.3">
      <c r="A5553" t="s">
        <v>10124</v>
      </c>
      <c r="B5553" t="s">
        <v>16</v>
      </c>
      <c r="C5553">
        <v>7648876604</v>
      </c>
      <c r="D5553" s="2">
        <v>1</v>
      </c>
      <c r="E5553" t="str">
        <f>"4574674200795912"</f>
        <v>4574674200795912</v>
      </c>
      <c r="F5553" t="str">
        <f>"924"</f>
        <v>924</v>
      </c>
      <c r="G5553">
        <v>1</v>
      </c>
      <c r="H5553">
        <v>2023</v>
      </c>
      <c r="I5553" t="s">
        <v>5668</v>
      </c>
    </row>
    <row r="5554" spans="1:9" x14ac:dyDescent="0.3">
      <c r="A5554" t="s">
        <v>10124</v>
      </c>
      <c r="B5554" t="s">
        <v>16</v>
      </c>
      <c r="C5554">
        <v>7648876604</v>
      </c>
      <c r="D5554" s="2">
        <v>1</v>
      </c>
      <c r="E5554" t="str">
        <f>"4574674200796076"</f>
        <v>4574674200796076</v>
      </c>
      <c r="F5554" t="str">
        <f>"085"</f>
        <v>085</v>
      </c>
      <c r="G5554">
        <v>1</v>
      </c>
      <c r="H5554">
        <v>2023</v>
      </c>
      <c r="I5554" t="s">
        <v>5669</v>
      </c>
    </row>
    <row r="5555" spans="1:9" x14ac:dyDescent="0.3">
      <c r="A5555" t="s">
        <v>10124</v>
      </c>
      <c r="B5555" t="s">
        <v>16</v>
      </c>
      <c r="C5555">
        <v>7648876604</v>
      </c>
      <c r="D5555" s="2">
        <v>1</v>
      </c>
      <c r="E5555" t="str">
        <f>"4574674200796217"</f>
        <v>4574674200796217</v>
      </c>
      <c r="F5555" t="str">
        <f>"489"</f>
        <v>489</v>
      </c>
      <c r="G5555">
        <v>1</v>
      </c>
      <c r="H5555">
        <v>2023</v>
      </c>
      <c r="I5555" t="s">
        <v>5670</v>
      </c>
    </row>
    <row r="5556" spans="1:9" x14ac:dyDescent="0.3">
      <c r="A5556" t="s">
        <v>10124</v>
      </c>
      <c r="B5556" t="s">
        <v>16</v>
      </c>
      <c r="C5556">
        <v>7648876604</v>
      </c>
      <c r="D5556" s="2">
        <v>1</v>
      </c>
      <c r="E5556" t="str">
        <f>"4574674200796225"</f>
        <v>4574674200796225</v>
      </c>
      <c r="F5556" t="str">
        <f>"529"</f>
        <v>529</v>
      </c>
      <c r="G5556">
        <v>1</v>
      </c>
      <c r="H5556">
        <v>2023</v>
      </c>
      <c r="I5556" t="s">
        <v>5671</v>
      </c>
    </row>
    <row r="5557" spans="1:9" x14ac:dyDescent="0.3">
      <c r="A5557" t="s">
        <v>10124</v>
      </c>
      <c r="B5557" t="s">
        <v>16</v>
      </c>
      <c r="C5557">
        <v>7648876604</v>
      </c>
      <c r="D5557" s="2">
        <v>1</v>
      </c>
      <c r="E5557" t="str">
        <f>"4574674200796233"</f>
        <v>4574674200796233</v>
      </c>
      <c r="F5557" t="str">
        <f>"934"</f>
        <v>934</v>
      </c>
      <c r="G5557">
        <v>1</v>
      </c>
      <c r="H5557">
        <v>2023</v>
      </c>
      <c r="I5557" t="s">
        <v>5672</v>
      </c>
    </row>
    <row r="5558" spans="1:9" x14ac:dyDescent="0.3">
      <c r="A5558" t="s">
        <v>10125</v>
      </c>
      <c r="B5558" t="s">
        <v>17</v>
      </c>
      <c r="C5558">
        <v>7648876604</v>
      </c>
      <c r="D5558" s="2">
        <v>1</v>
      </c>
      <c r="E5558" t="str">
        <f>"4574674200796241"</f>
        <v>4574674200796241</v>
      </c>
      <c r="F5558" t="str">
        <f>"886"</f>
        <v>886</v>
      </c>
      <c r="G5558">
        <v>1</v>
      </c>
      <c r="H5558">
        <v>2023</v>
      </c>
      <c r="I5558" t="s">
        <v>5673</v>
      </c>
    </row>
    <row r="5559" spans="1:9" x14ac:dyDescent="0.3">
      <c r="A5559" t="s">
        <v>10125</v>
      </c>
      <c r="B5559" t="s">
        <v>17</v>
      </c>
      <c r="C5559">
        <v>7648876604</v>
      </c>
      <c r="D5559" s="2">
        <v>1</v>
      </c>
      <c r="E5559" t="str">
        <f>"4574674200796266"</f>
        <v>4574674200796266</v>
      </c>
      <c r="F5559" t="str">
        <f>"097"</f>
        <v>097</v>
      </c>
      <c r="G5559">
        <v>1</v>
      </c>
      <c r="H5559">
        <v>2023</v>
      </c>
      <c r="I5559" t="s">
        <v>5674</v>
      </c>
    </row>
    <row r="5560" spans="1:9" x14ac:dyDescent="0.3">
      <c r="A5560" t="s">
        <v>10125</v>
      </c>
      <c r="B5560" t="s">
        <v>17</v>
      </c>
      <c r="C5560">
        <v>7648876604</v>
      </c>
      <c r="D5560" s="2">
        <v>1</v>
      </c>
      <c r="E5560" t="str">
        <f>"4574674200796258"</f>
        <v>4574674200796258</v>
      </c>
      <c r="F5560" t="str">
        <f>"732"</f>
        <v>732</v>
      </c>
      <c r="G5560">
        <v>1</v>
      </c>
      <c r="H5560">
        <v>2023</v>
      </c>
      <c r="I5560" t="s">
        <v>5675</v>
      </c>
    </row>
    <row r="5561" spans="1:9" x14ac:dyDescent="0.3">
      <c r="A5561" t="s">
        <v>10125</v>
      </c>
      <c r="B5561" t="s">
        <v>17</v>
      </c>
      <c r="C5561">
        <v>7648876604</v>
      </c>
      <c r="D5561" s="2">
        <v>1</v>
      </c>
      <c r="E5561" t="str">
        <f>"4574674200796423"</f>
        <v>4574674200796423</v>
      </c>
      <c r="F5561" t="str">
        <f>"053"</f>
        <v>053</v>
      </c>
      <c r="G5561">
        <v>1</v>
      </c>
      <c r="H5561">
        <v>2023</v>
      </c>
      <c r="I5561" t="s">
        <v>5676</v>
      </c>
    </row>
    <row r="5562" spans="1:9" x14ac:dyDescent="0.3">
      <c r="A5562" t="s">
        <v>10125</v>
      </c>
      <c r="B5562" t="s">
        <v>17</v>
      </c>
      <c r="C5562">
        <v>7648876604</v>
      </c>
      <c r="D5562" s="2">
        <v>1</v>
      </c>
      <c r="E5562" t="str">
        <f>"4574674200796332"</f>
        <v>4574674200796332</v>
      </c>
      <c r="F5562" t="str">
        <f>"203"</f>
        <v>203</v>
      </c>
      <c r="G5562">
        <v>1</v>
      </c>
      <c r="H5562">
        <v>2023</v>
      </c>
      <c r="I5562" t="s">
        <v>5677</v>
      </c>
    </row>
    <row r="5563" spans="1:9" x14ac:dyDescent="0.3">
      <c r="A5563" t="s">
        <v>10125</v>
      </c>
      <c r="B5563" t="s">
        <v>17</v>
      </c>
      <c r="C5563">
        <v>7648876604</v>
      </c>
      <c r="D5563" s="2">
        <v>1</v>
      </c>
      <c r="E5563" t="str">
        <f>"4574674200796324"</f>
        <v>4574674200796324</v>
      </c>
      <c r="F5563" t="str">
        <f>"571"</f>
        <v>571</v>
      </c>
      <c r="G5563">
        <v>1</v>
      </c>
      <c r="H5563">
        <v>2023</v>
      </c>
      <c r="I5563" t="s">
        <v>5678</v>
      </c>
    </row>
    <row r="5564" spans="1:9" x14ac:dyDescent="0.3">
      <c r="A5564" t="s">
        <v>10125</v>
      </c>
      <c r="B5564" t="s">
        <v>17</v>
      </c>
      <c r="C5564">
        <v>7648876604</v>
      </c>
      <c r="D5564" s="2">
        <v>1</v>
      </c>
      <c r="E5564" t="str">
        <f>"4574674200796597"</f>
        <v>4574674200796597</v>
      </c>
      <c r="F5564" t="str">
        <f>"836"</f>
        <v>836</v>
      </c>
      <c r="G5564">
        <v>1</v>
      </c>
      <c r="H5564">
        <v>2023</v>
      </c>
      <c r="I5564" t="s">
        <v>5679</v>
      </c>
    </row>
    <row r="5565" spans="1:9" x14ac:dyDescent="0.3">
      <c r="A5565" t="s">
        <v>10125</v>
      </c>
      <c r="B5565" t="s">
        <v>17</v>
      </c>
      <c r="C5565">
        <v>7648876604</v>
      </c>
      <c r="D5565" s="2">
        <v>1</v>
      </c>
      <c r="E5565" t="str">
        <f>"4574674200796365"</f>
        <v>4574674200796365</v>
      </c>
      <c r="F5565" t="str">
        <f>"999"</f>
        <v>999</v>
      </c>
      <c r="G5565">
        <v>1</v>
      </c>
      <c r="H5565">
        <v>2023</v>
      </c>
      <c r="I5565" t="s">
        <v>5680</v>
      </c>
    </row>
    <row r="5566" spans="1:9" x14ac:dyDescent="0.3">
      <c r="A5566" t="s">
        <v>10125</v>
      </c>
      <c r="B5566" t="s">
        <v>17</v>
      </c>
      <c r="C5566">
        <v>7648876604</v>
      </c>
      <c r="D5566" s="2">
        <v>1</v>
      </c>
      <c r="E5566" t="str">
        <f>"4574674200796357"</f>
        <v>4574674200796357</v>
      </c>
      <c r="F5566" t="str">
        <f>"381"</f>
        <v>381</v>
      </c>
      <c r="G5566">
        <v>1</v>
      </c>
      <c r="H5566">
        <v>2023</v>
      </c>
      <c r="I5566" t="s">
        <v>5681</v>
      </c>
    </row>
    <row r="5567" spans="1:9" x14ac:dyDescent="0.3">
      <c r="A5567" t="s">
        <v>10125</v>
      </c>
      <c r="B5567" t="s">
        <v>17</v>
      </c>
      <c r="C5567">
        <v>7648876604</v>
      </c>
      <c r="D5567" s="2">
        <v>1</v>
      </c>
      <c r="E5567" t="str">
        <f>"4574674200796373"</f>
        <v>4574674200796373</v>
      </c>
      <c r="F5567" t="str">
        <f>"527"</f>
        <v>527</v>
      </c>
      <c r="G5567">
        <v>1</v>
      </c>
      <c r="H5567">
        <v>2023</v>
      </c>
      <c r="I5567" t="s">
        <v>5682</v>
      </c>
    </row>
    <row r="5568" spans="1:9" x14ac:dyDescent="0.3">
      <c r="A5568" t="s">
        <v>10126</v>
      </c>
      <c r="B5568" t="s">
        <v>18</v>
      </c>
      <c r="C5568">
        <v>7648876604</v>
      </c>
      <c r="D5568" s="2">
        <v>1</v>
      </c>
      <c r="E5568" t="str">
        <f>"4574674200796381"</f>
        <v>4574674200796381</v>
      </c>
      <c r="F5568" t="str">
        <f>"674"</f>
        <v>674</v>
      </c>
      <c r="G5568">
        <v>1</v>
      </c>
      <c r="H5568">
        <v>2023</v>
      </c>
      <c r="I5568" t="s">
        <v>5683</v>
      </c>
    </row>
    <row r="5569" spans="1:9" x14ac:dyDescent="0.3">
      <c r="A5569" t="s">
        <v>10126</v>
      </c>
      <c r="B5569" t="s">
        <v>18</v>
      </c>
      <c r="C5569">
        <v>7648876604</v>
      </c>
      <c r="D5569" s="2">
        <v>1</v>
      </c>
      <c r="E5569" t="str">
        <f>"4574674200796837"</f>
        <v>4574674200796837</v>
      </c>
      <c r="F5569" t="str">
        <f>"418"</f>
        <v>418</v>
      </c>
      <c r="G5569">
        <v>1</v>
      </c>
      <c r="H5569">
        <v>2023</v>
      </c>
      <c r="I5569" t="s">
        <v>5684</v>
      </c>
    </row>
    <row r="5570" spans="1:9" x14ac:dyDescent="0.3">
      <c r="A5570" t="s">
        <v>10126</v>
      </c>
      <c r="B5570" t="s">
        <v>18</v>
      </c>
      <c r="C5570">
        <v>7648876604</v>
      </c>
      <c r="D5570" s="2">
        <v>1</v>
      </c>
      <c r="E5570" t="str">
        <f>"4574674200797009"</f>
        <v>4574674200797009</v>
      </c>
      <c r="F5570" t="str">
        <f>"224"</f>
        <v>224</v>
      </c>
      <c r="G5570">
        <v>1</v>
      </c>
      <c r="H5570">
        <v>2023</v>
      </c>
      <c r="I5570" t="s">
        <v>5685</v>
      </c>
    </row>
    <row r="5571" spans="1:9" x14ac:dyDescent="0.3">
      <c r="A5571" t="s">
        <v>10126</v>
      </c>
      <c r="B5571" t="s">
        <v>18</v>
      </c>
      <c r="C5571">
        <v>7648876604</v>
      </c>
      <c r="D5571" s="2">
        <v>1</v>
      </c>
      <c r="E5571" t="str">
        <f>"4574674200796860"</f>
        <v>4574674200796860</v>
      </c>
      <c r="F5571" t="str">
        <f>"608"</f>
        <v>608</v>
      </c>
      <c r="G5571">
        <v>1</v>
      </c>
      <c r="H5571">
        <v>2023</v>
      </c>
      <c r="I5571" t="s">
        <v>5686</v>
      </c>
    </row>
    <row r="5572" spans="1:9" x14ac:dyDescent="0.3">
      <c r="A5572" t="s">
        <v>10126</v>
      </c>
      <c r="B5572" t="s">
        <v>18</v>
      </c>
      <c r="C5572">
        <v>7648876604</v>
      </c>
      <c r="D5572" s="2">
        <v>1</v>
      </c>
      <c r="E5572" t="str">
        <f>"4574674200796878"</f>
        <v>4574674200796878</v>
      </c>
      <c r="F5572" t="str">
        <f>"196"</f>
        <v>196</v>
      </c>
      <c r="G5572">
        <v>1</v>
      </c>
      <c r="H5572">
        <v>2023</v>
      </c>
      <c r="I5572" t="s">
        <v>5687</v>
      </c>
    </row>
    <row r="5573" spans="1:9" x14ac:dyDescent="0.3">
      <c r="A5573" t="s">
        <v>10126</v>
      </c>
      <c r="B5573" t="s">
        <v>18</v>
      </c>
      <c r="C5573">
        <v>7648876604</v>
      </c>
      <c r="D5573" s="2">
        <v>1</v>
      </c>
      <c r="E5573" t="str">
        <f>"4574674200796886"</f>
        <v>4574674200796886</v>
      </c>
      <c r="F5573" t="str">
        <f>"974"</f>
        <v>974</v>
      </c>
      <c r="G5573">
        <v>1</v>
      </c>
      <c r="H5573">
        <v>2023</v>
      </c>
      <c r="I5573" t="s">
        <v>5688</v>
      </c>
    </row>
    <row r="5574" spans="1:9" x14ac:dyDescent="0.3">
      <c r="A5574" t="s">
        <v>10126</v>
      </c>
      <c r="B5574" t="s">
        <v>18</v>
      </c>
      <c r="C5574">
        <v>7648876604</v>
      </c>
      <c r="D5574" s="2">
        <v>1</v>
      </c>
      <c r="E5574" t="str">
        <f>"4574674200796894"</f>
        <v>4574674200796894</v>
      </c>
      <c r="F5574" t="str">
        <f>"668"</f>
        <v>668</v>
      </c>
      <c r="G5574">
        <v>1</v>
      </c>
      <c r="H5574">
        <v>2023</v>
      </c>
      <c r="I5574" t="s">
        <v>5689</v>
      </c>
    </row>
    <row r="5575" spans="1:9" x14ac:dyDescent="0.3">
      <c r="A5575" t="s">
        <v>10126</v>
      </c>
      <c r="B5575" t="s">
        <v>18</v>
      </c>
      <c r="C5575">
        <v>7648876604</v>
      </c>
      <c r="D5575" s="2">
        <v>1</v>
      </c>
      <c r="E5575" t="str">
        <f>"4574674200796902"</f>
        <v>4574674200796902</v>
      </c>
      <c r="F5575" t="str">
        <f>"388"</f>
        <v>388</v>
      </c>
      <c r="G5575">
        <v>1</v>
      </c>
      <c r="H5575">
        <v>2023</v>
      </c>
      <c r="I5575" t="s">
        <v>5690</v>
      </c>
    </row>
    <row r="5576" spans="1:9" x14ac:dyDescent="0.3">
      <c r="A5576" t="s">
        <v>10126</v>
      </c>
      <c r="B5576" t="s">
        <v>18</v>
      </c>
      <c r="C5576">
        <v>7648876604</v>
      </c>
      <c r="D5576" s="2">
        <v>1</v>
      </c>
      <c r="E5576" t="str">
        <f>"4574674200797140"</f>
        <v>4574674200797140</v>
      </c>
      <c r="F5576" t="str">
        <f>"180"</f>
        <v>180</v>
      </c>
      <c r="G5576">
        <v>1</v>
      </c>
      <c r="H5576">
        <v>2023</v>
      </c>
      <c r="I5576" t="s">
        <v>5691</v>
      </c>
    </row>
    <row r="5577" spans="1:9" x14ac:dyDescent="0.3">
      <c r="A5577" t="s">
        <v>10126</v>
      </c>
      <c r="B5577" t="s">
        <v>18</v>
      </c>
      <c r="C5577">
        <v>7648876604</v>
      </c>
      <c r="D5577" s="2">
        <v>1</v>
      </c>
      <c r="E5577" t="str">
        <f>"4574674200796969"</f>
        <v>4574674200796969</v>
      </c>
      <c r="F5577" t="str">
        <f>"777"</f>
        <v>777</v>
      </c>
      <c r="G5577">
        <v>1</v>
      </c>
      <c r="H5577">
        <v>2023</v>
      </c>
      <c r="I5577" t="s">
        <v>5692</v>
      </c>
    </row>
    <row r="5578" spans="1:9" x14ac:dyDescent="0.3">
      <c r="A5578" t="s">
        <v>10127</v>
      </c>
      <c r="B5578" t="s">
        <v>19</v>
      </c>
      <c r="C5578">
        <v>7648876604</v>
      </c>
      <c r="D5578" s="2">
        <v>1</v>
      </c>
      <c r="E5578" t="str">
        <f>"4574674200796977"</f>
        <v>4574674200796977</v>
      </c>
      <c r="F5578" t="str">
        <f>"202"</f>
        <v>202</v>
      </c>
      <c r="G5578">
        <v>1</v>
      </c>
      <c r="H5578">
        <v>2023</v>
      </c>
      <c r="I5578" t="s">
        <v>5693</v>
      </c>
    </row>
    <row r="5579" spans="1:9" x14ac:dyDescent="0.3">
      <c r="A5579" t="s">
        <v>10127</v>
      </c>
      <c r="B5579" t="s">
        <v>19</v>
      </c>
      <c r="C5579">
        <v>7648876604</v>
      </c>
      <c r="D5579" s="2">
        <v>1</v>
      </c>
      <c r="E5579" t="str">
        <f>"4574674200796985"</f>
        <v>4574674200796985</v>
      </c>
      <c r="F5579" t="str">
        <f>"036"</f>
        <v>036</v>
      </c>
      <c r="G5579">
        <v>1</v>
      </c>
      <c r="H5579">
        <v>2023</v>
      </c>
      <c r="I5579" t="s">
        <v>5694</v>
      </c>
    </row>
    <row r="5580" spans="1:9" x14ac:dyDescent="0.3">
      <c r="A5580" t="s">
        <v>10127</v>
      </c>
      <c r="B5580" t="s">
        <v>19</v>
      </c>
      <c r="C5580">
        <v>7648876604</v>
      </c>
      <c r="D5580" s="2">
        <v>1</v>
      </c>
      <c r="E5580" t="str">
        <f>"4574674200796993"</f>
        <v>4574674200796993</v>
      </c>
      <c r="F5580" t="str">
        <f>"150"</f>
        <v>150</v>
      </c>
      <c r="G5580">
        <v>1</v>
      </c>
      <c r="H5580">
        <v>2023</v>
      </c>
      <c r="I5580" t="s">
        <v>5695</v>
      </c>
    </row>
    <row r="5581" spans="1:9" x14ac:dyDescent="0.3">
      <c r="A5581" t="s">
        <v>10127</v>
      </c>
      <c r="B5581" t="s">
        <v>19</v>
      </c>
      <c r="C5581">
        <v>7648876604</v>
      </c>
      <c r="D5581" s="2">
        <v>1</v>
      </c>
      <c r="E5581" t="str">
        <f>"4574674200797421"</f>
        <v>4574674200797421</v>
      </c>
      <c r="F5581" t="str">
        <f>"938"</f>
        <v>938</v>
      </c>
      <c r="G5581">
        <v>1</v>
      </c>
      <c r="H5581">
        <v>2023</v>
      </c>
      <c r="I5581" t="s">
        <v>5696</v>
      </c>
    </row>
    <row r="5582" spans="1:9" x14ac:dyDescent="0.3">
      <c r="A5582" t="s">
        <v>10127</v>
      </c>
      <c r="B5582" t="s">
        <v>19</v>
      </c>
      <c r="C5582">
        <v>7648876604</v>
      </c>
      <c r="D5582" s="2">
        <v>1</v>
      </c>
      <c r="E5582" t="str">
        <f>"4574674200797371"</f>
        <v>4574674200797371</v>
      </c>
      <c r="F5582" t="str">
        <f>"596"</f>
        <v>596</v>
      </c>
      <c r="G5582">
        <v>1</v>
      </c>
      <c r="H5582">
        <v>2023</v>
      </c>
      <c r="I5582" t="s">
        <v>5697</v>
      </c>
    </row>
    <row r="5583" spans="1:9" x14ac:dyDescent="0.3">
      <c r="A5583" t="s">
        <v>10127</v>
      </c>
      <c r="B5583" t="s">
        <v>19</v>
      </c>
      <c r="C5583">
        <v>7648876604</v>
      </c>
      <c r="D5583" s="2">
        <v>1</v>
      </c>
      <c r="E5583" t="str">
        <f>"4574674200797447"</f>
        <v>4574674200797447</v>
      </c>
      <c r="F5583" t="str">
        <f>"722"</f>
        <v>722</v>
      </c>
      <c r="G5583">
        <v>1</v>
      </c>
      <c r="H5583">
        <v>2023</v>
      </c>
      <c r="I5583" t="s">
        <v>5698</v>
      </c>
    </row>
    <row r="5584" spans="1:9" x14ac:dyDescent="0.3">
      <c r="A5584" t="s">
        <v>10127</v>
      </c>
      <c r="B5584" t="s">
        <v>19</v>
      </c>
      <c r="C5584">
        <v>7648876604</v>
      </c>
      <c r="D5584" s="2">
        <v>1</v>
      </c>
      <c r="E5584" t="str">
        <f>"4574674200797470"</f>
        <v>4574674200797470</v>
      </c>
      <c r="F5584" t="str">
        <f>"570"</f>
        <v>570</v>
      </c>
      <c r="G5584">
        <v>1</v>
      </c>
      <c r="H5584">
        <v>2023</v>
      </c>
      <c r="I5584" t="s">
        <v>5699</v>
      </c>
    </row>
    <row r="5585" spans="1:9" x14ac:dyDescent="0.3">
      <c r="A5585" t="s">
        <v>10127</v>
      </c>
      <c r="B5585" t="s">
        <v>19</v>
      </c>
      <c r="C5585">
        <v>7648876604</v>
      </c>
      <c r="D5585" s="2">
        <v>1</v>
      </c>
      <c r="E5585" t="str">
        <f>"4574674200797496"</f>
        <v>4574674200797496</v>
      </c>
      <c r="F5585" t="str">
        <f>"979"</f>
        <v>979</v>
      </c>
      <c r="G5585">
        <v>1</v>
      </c>
      <c r="H5585">
        <v>2023</v>
      </c>
      <c r="I5585" t="s">
        <v>5700</v>
      </c>
    </row>
    <row r="5586" spans="1:9" x14ac:dyDescent="0.3">
      <c r="A5586" t="s">
        <v>10127</v>
      </c>
      <c r="B5586" t="s">
        <v>19</v>
      </c>
      <c r="C5586">
        <v>7648876604</v>
      </c>
      <c r="D5586" s="2">
        <v>1</v>
      </c>
      <c r="E5586" t="str">
        <f>"4574674200797504"</f>
        <v>4574674200797504</v>
      </c>
      <c r="F5586" t="str">
        <f>"722"</f>
        <v>722</v>
      </c>
      <c r="G5586">
        <v>1</v>
      </c>
      <c r="H5586">
        <v>2023</v>
      </c>
      <c r="I5586" t="s">
        <v>5701</v>
      </c>
    </row>
    <row r="5587" spans="1:9" x14ac:dyDescent="0.3">
      <c r="A5587" t="s">
        <v>10127</v>
      </c>
      <c r="B5587" t="s">
        <v>19</v>
      </c>
      <c r="C5587">
        <v>7648876604</v>
      </c>
      <c r="D5587" s="2">
        <v>1</v>
      </c>
      <c r="E5587" t="str">
        <f>"4574674200797736"</f>
        <v>4574674200797736</v>
      </c>
      <c r="F5587" t="str">
        <f>"826"</f>
        <v>826</v>
      </c>
      <c r="G5587">
        <v>1</v>
      </c>
      <c r="H5587">
        <v>2023</v>
      </c>
      <c r="I5587" t="s">
        <v>5702</v>
      </c>
    </row>
    <row r="5588" spans="1:9" x14ac:dyDescent="0.3">
      <c r="A5588" t="s">
        <v>10128</v>
      </c>
      <c r="B5588" t="s">
        <v>20</v>
      </c>
      <c r="C5588">
        <v>7648876604</v>
      </c>
      <c r="D5588" s="2">
        <v>1</v>
      </c>
      <c r="E5588" t="str">
        <f>"4574674200797512"</f>
        <v>4574674200797512</v>
      </c>
      <c r="F5588" t="str">
        <f>"232"</f>
        <v>232</v>
      </c>
      <c r="G5588">
        <v>1</v>
      </c>
      <c r="H5588">
        <v>2023</v>
      </c>
      <c r="I5588" t="s">
        <v>5703</v>
      </c>
    </row>
    <row r="5589" spans="1:9" x14ac:dyDescent="0.3">
      <c r="A5589" t="s">
        <v>10128</v>
      </c>
      <c r="B5589" t="s">
        <v>20</v>
      </c>
      <c r="C5589">
        <v>7648876604</v>
      </c>
      <c r="D5589" s="2">
        <v>1</v>
      </c>
      <c r="E5589" t="str">
        <f>"4574674200797538"</f>
        <v>4574674200797538</v>
      </c>
      <c r="F5589" t="str">
        <f>"053"</f>
        <v>053</v>
      </c>
      <c r="G5589">
        <v>1</v>
      </c>
      <c r="H5589">
        <v>2023</v>
      </c>
      <c r="I5589" t="s">
        <v>5704</v>
      </c>
    </row>
    <row r="5590" spans="1:9" x14ac:dyDescent="0.3">
      <c r="A5590" t="s">
        <v>10128</v>
      </c>
      <c r="B5590" t="s">
        <v>20</v>
      </c>
      <c r="C5590">
        <v>7648876604</v>
      </c>
      <c r="D5590" s="2">
        <v>1</v>
      </c>
      <c r="E5590" t="str">
        <f>"4574674200797553"</f>
        <v>4574674200797553</v>
      </c>
      <c r="F5590" t="str">
        <f>"832"</f>
        <v>832</v>
      </c>
      <c r="G5590">
        <v>1</v>
      </c>
      <c r="H5590">
        <v>2023</v>
      </c>
      <c r="I5590" t="s">
        <v>5705</v>
      </c>
    </row>
    <row r="5591" spans="1:9" x14ac:dyDescent="0.3">
      <c r="A5591" t="s">
        <v>10128</v>
      </c>
      <c r="B5591" t="s">
        <v>20</v>
      </c>
      <c r="C5591">
        <v>7648876604</v>
      </c>
      <c r="D5591" s="2">
        <v>1</v>
      </c>
      <c r="E5591" t="str">
        <f>"4574674200797595"</f>
        <v>4574674200797595</v>
      </c>
      <c r="F5591" t="str">
        <f>"577"</f>
        <v>577</v>
      </c>
      <c r="G5591">
        <v>1</v>
      </c>
      <c r="H5591">
        <v>2023</v>
      </c>
      <c r="I5591" t="s">
        <v>5706</v>
      </c>
    </row>
    <row r="5592" spans="1:9" x14ac:dyDescent="0.3">
      <c r="A5592" t="s">
        <v>10128</v>
      </c>
      <c r="B5592" t="s">
        <v>20</v>
      </c>
      <c r="C5592">
        <v>7648876604</v>
      </c>
      <c r="D5592" s="2">
        <v>1</v>
      </c>
      <c r="E5592" t="str">
        <f>"4574674200797868"</f>
        <v>4574674200797868</v>
      </c>
      <c r="F5592" t="str">
        <f>"037"</f>
        <v>037</v>
      </c>
      <c r="G5592">
        <v>1</v>
      </c>
      <c r="H5592">
        <v>2023</v>
      </c>
      <c r="I5592" t="s">
        <v>5707</v>
      </c>
    </row>
    <row r="5593" spans="1:9" x14ac:dyDescent="0.3">
      <c r="A5593" t="s">
        <v>10128</v>
      </c>
      <c r="B5593" t="s">
        <v>20</v>
      </c>
      <c r="C5593">
        <v>7648876604</v>
      </c>
      <c r="D5593" s="2">
        <v>1</v>
      </c>
      <c r="E5593" t="str">
        <f>"4574674200798007"</f>
        <v>4574674200798007</v>
      </c>
      <c r="F5593" t="str">
        <f>"873"</f>
        <v>873</v>
      </c>
      <c r="G5593">
        <v>1</v>
      </c>
      <c r="H5593">
        <v>2023</v>
      </c>
      <c r="I5593" t="s">
        <v>5708</v>
      </c>
    </row>
    <row r="5594" spans="1:9" x14ac:dyDescent="0.3">
      <c r="A5594" t="s">
        <v>10128</v>
      </c>
      <c r="B5594" t="s">
        <v>20</v>
      </c>
      <c r="C5594">
        <v>7648876604</v>
      </c>
      <c r="D5594" s="2">
        <v>1</v>
      </c>
      <c r="E5594" t="str">
        <f>"4574674200798023"</f>
        <v>4574674200798023</v>
      </c>
      <c r="F5594" t="str">
        <f>"039"</f>
        <v>039</v>
      </c>
      <c r="G5594">
        <v>1</v>
      </c>
      <c r="H5594">
        <v>2023</v>
      </c>
      <c r="I5594" t="s">
        <v>5709</v>
      </c>
    </row>
    <row r="5595" spans="1:9" x14ac:dyDescent="0.3">
      <c r="A5595" t="s">
        <v>10128</v>
      </c>
      <c r="B5595" t="s">
        <v>20</v>
      </c>
      <c r="C5595">
        <v>7648876604</v>
      </c>
      <c r="D5595" s="2">
        <v>1</v>
      </c>
      <c r="E5595" t="str">
        <f>"4574674200798031"</f>
        <v>4574674200798031</v>
      </c>
      <c r="F5595" t="str">
        <f>"776"</f>
        <v>776</v>
      </c>
      <c r="G5595">
        <v>1</v>
      </c>
      <c r="H5595">
        <v>2023</v>
      </c>
      <c r="I5595" t="s">
        <v>5710</v>
      </c>
    </row>
    <row r="5596" spans="1:9" x14ac:dyDescent="0.3">
      <c r="A5596" t="s">
        <v>10128</v>
      </c>
      <c r="B5596" t="s">
        <v>20</v>
      </c>
      <c r="C5596">
        <v>7648876604</v>
      </c>
      <c r="D5596" s="2">
        <v>1</v>
      </c>
      <c r="E5596" t="str">
        <f>"4574674200798064"</f>
        <v>4574674200798064</v>
      </c>
      <c r="F5596" t="str">
        <f>"865"</f>
        <v>865</v>
      </c>
      <c r="G5596">
        <v>1</v>
      </c>
      <c r="H5596">
        <v>2023</v>
      </c>
      <c r="I5596" t="s">
        <v>5711</v>
      </c>
    </row>
    <row r="5597" spans="1:9" x14ac:dyDescent="0.3">
      <c r="A5597" t="s">
        <v>10128</v>
      </c>
      <c r="B5597" t="s">
        <v>20</v>
      </c>
      <c r="C5597">
        <v>7648876604</v>
      </c>
      <c r="D5597" s="2">
        <v>1</v>
      </c>
      <c r="E5597" t="str">
        <f>"4574674200798056"</f>
        <v>4574674200798056</v>
      </c>
      <c r="F5597" t="str">
        <f>"042"</f>
        <v>042</v>
      </c>
      <c r="G5597">
        <v>1</v>
      </c>
      <c r="H5597">
        <v>2023</v>
      </c>
      <c r="I5597" t="s">
        <v>5712</v>
      </c>
    </row>
    <row r="5598" spans="1:9" x14ac:dyDescent="0.3">
      <c r="A5598" t="s">
        <v>10129</v>
      </c>
      <c r="B5598" t="s">
        <v>21</v>
      </c>
      <c r="C5598">
        <v>7648876604</v>
      </c>
      <c r="D5598" s="2">
        <v>1</v>
      </c>
      <c r="E5598" t="str">
        <f>"4574674200798239"</f>
        <v>4574674200798239</v>
      </c>
      <c r="F5598" t="str">
        <f>"589"</f>
        <v>589</v>
      </c>
      <c r="G5598">
        <v>1</v>
      </c>
      <c r="H5598">
        <v>2023</v>
      </c>
      <c r="I5598" t="s">
        <v>5713</v>
      </c>
    </row>
    <row r="5599" spans="1:9" x14ac:dyDescent="0.3">
      <c r="A5599" t="s">
        <v>10129</v>
      </c>
      <c r="B5599" t="s">
        <v>21</v>
      </c>
      <c r="C5599">
        <v>7648876604</v>
      </c>
      <c r="D5599" s="2">
        <v>1</v>
      </c>
      <c r="E5599" t="str">
        <f>"4574674200798114"</f>
        <v>4574674200798114</v>
      </c>
      <c r="F5599" t="str">
        <f>"240"</f>
        <v>240</v>
      </c>
      <c r="G5599">
        <v>1</v>
      </c>
      <c r="H5599">
        <v>2023</v>
      </c>
      <c r="I5599" t="s">
        <v>5714</v>
      </c>
    </row>
    <row r="5600" spans="1:9" x14ac:dyDescent="0.3">
      <c r="A5600" t="s">
        <v>10129</v>
      </c>
      <c r="B5600" t="s">
        <v>21</v>
      </c>
      <c r="C5600">
        <v>7648876604</v>
      </c>
      <c r="D5600" s="2">
        <v>1</v>
      </c>
      <c r="E5600" t="str">
        <f>"4574674200798395"</f>
        <v>4574674200798395</v>
      </c>
      <c r="F5600" t="str">
        <f>"112"</f>
        <v>112</v>
      </c>
      <c r="G5600">
        <v>1</v>
      </c>
      <c r="H5600">
        <v>2023</v>
      </c>
      <c r="I5600" t="s">
        <v>5715</v>
      </c>
    </row>
    <row r="5601" spans="1:9" x14ac:dyDescent="0.3">
      <c r="A5601" t="s">
        <v>10129</v>
      </c>
      <c r="B5601" t="s">
        <v>21</v>
      </c>
      <c r="C5601">
        <v>7648876604</v>
      </c>
      <c r="D5601" s="2">
        <v>1</v>
      </c>
      <c r="E5601" t="str">
        <f>"4574674200798130"</f>
        <v>4574674200798130</v>
      </c>
      <c r="F5601" t="str">
        <f>"077"</f>
        <v>077</v>
      </c>
      <c r="G5601">
        <v>1</v>
      </c>
      <c r="H5601">
        <v>2023</v>
      </c>
      <c r="I5601" t="s">
        <v>5716</v>
      </c>
    </row>
    <row r="5602" spans="1:9" x14ac:dyDescent="0.3">
      <c r="A5602" t="s">
        <v>10129</v>
      </c>
      <c r="B5602" t="s">
        <v>21</v>
      </c>
      <c r="C5602">
        <v>7648876604</v>
      </c>
      <c r="D5602" s="2">
        <v>1</v>
      </c>
      <c r="E5602" t="str">
        <f>"4574674200798148"</f>
        <v>4574674200798148</v>
      </c>
      <c r="F5602" t="str">
        <f>"937"</f>
        <v>937</v>
      </c>
      <c r="G5602">
        <v>1</v>
      </c>
      <c r="H5602">
        <v>2023</v>
      </c>
      <c r="I5602" t="s">
        <v>5717</v>
      </c>
    </row>
    <row r="5603" spans="1:9" x14ac:dyDescent="0.3">
      <c r="A5603" t="s">
        <v>10129</v>
      </c>
      <c r="B5603" t="s">
        <v>21</v>
      </c>
      <c r="C5603">
        <v>7648876604</v>
      </c>
      <c r="D5603" s="2">
        <v>1</v>
      </c>
      <c r="E5603" t="str">
        <f>"4574674200798171"</f>
        <v>4574674200798171</v>
      </c>
      <c r="F5603" t="str">
        <f>"205"</f>
        <v>205</v>
      </c>
      <c r="G5603">
        <v>1</v>
      </c>
      <c r="H5603">
        <v>2023</v>
      </c>
      <c r="I5603" t="s">
        <v>5718</v>
      </c>
    </row>
    <row r="5604" spans="1:9" x14ac:dyDescent="0.3">
      <c r="A5604" t="s">
        <v>10129</v>
      </c>
      <c r="B5604" t="s">
        <v>21</v>
      </c>
      <c r="C5604">
        <v>7648876604</v>
      </c>
      <c r="D5604" s="2">
        <v>1</v>
      </c>
      <c r="E5604" t="str">
        <f>"4574674200798189"</f>
        <v>4574674200798189</v>
      </c>
      <c r="F5604" t="str">
        <f>"756"</f>
        <v>756</v>
      </c>
      <c r="G5604">
        <v>1</v>
      </c>
      <c r="H5604">
        <v>2023</v>
      </c>
      <c r="I5604" t="s">
        <v>5719</v>
      </c>
    </row>
    <row r="5605" spans="1:9" x14ac:dyDescent="0.3">
      <c r="A5605" t="s">
        <v>10129</v>
      </c>
      <c r="B5605" t="s">
        <v>21</v>
      </c>
      <c r="C5605">
        <v>7648876604</v>
      </c>
      <c r="D5605" s="2">
        <v>1</v>
      </c>
      <c r="E5605" t="str">
        <f>"4574674200798197"</f>
        <v>4574674200798197</v>
      </c>
      <c r="F5605" t="str">
        <f>"650"</f>
        <v>650</v>
      </c>
      <c r="G5605">
        <v>1</v>
      </c>
      <c r="H5605">
        <v>2023</v>
      </c>
      <c r="I5605" t="s">
        <v>5720</v>
      </c>
    </row>
    <row r="5606" spans="1:9" x14ac:dyDescent="0.3">
      <c r="A5606" t="s">
        <v>10129</v>
      </c>
      <c r="B5606" t="s">
        <v>21</v>
      </c>
      <c r="C5606">
        <v>7648876604</v>
      </c>
      <c r="D5606" s="2">
        <v>1</v>
      </c>
      <c r="E5606" t="str">
        <f>"4574674200798627"</f>
        <v>4574674200798627</v>
      </c>
      <c r="F5606" t="str">
        <f>"126"</f>
        <v>126</v>
      </c>
      <c r="G5606">
        <v>1</v>
      </c>
      <c r="H5606">
        <v>2023</v>
      </c>
      <c r="I5606" t="s">
        <v>5721</v>
      </c>
    </row>
    <row r="5607" spans="1:9" x14ac:dyDescent="0.3">
      <c r="A5607" t="s">
        <v>10129</v>
      </c>
      <c r="B5607" t="s">
        <v>21</v>
      </c>
      <c r="C5607">
        <v>7648876604</v>
      </c>
      <c r="D5607" s="2">
        <v>1</v>
      </c>
      <c r="E5607" t="str">
        <f>"4574674200798544"</f>
        <v>4574674200798544</v>
      </c>
      <c r="F5607" t="str">
        <f>"530"</f>
        <v>530</v>
      </c>
      <c r="G5607">
        <v>1</v>
      </c>
      <c r="H5607">
        <v>2023</v>
      </c>
      <c r="I5607" t="s">
        <v>5722</v>
      </c>
    </row>
    <row r="5608" spans="1:9" x14ac:dyDescent="0.3">
      <c r="A5608" t="s">
        <v>10130</v>
      </c>
      <c r="B5608" t="s">
        <v>22</v>
      </c>
      <c r="C5608">
        <v>7648876604</v>
      </c>
      <c r="D5608" s="2">
        <v>1</v>
      </c>
      <c r="E5608" t="str">
        <f>"4574674200798650"</f>
        <v>4574674200798650</v>
      </c>
      <c r="F5608" t="str">
        <f>"755"</f>
        <v>755</v>
      </c>
      <c r="G5608">
        <v>1</v>
      </c>
      <c r="H5608">
        <v>2023</v>
      </c>
      <c r="I5608" t="s">
        <v>5723</v>
      </c>
    </row>
    <row r="5609" spans="1:9" x14ac:dyDescent="0.3">
      <c r="A5609" t="s">
        <v>10130</v>
      </c>
      <c r="B5609" t="s">
        <v>22</v>
      </c>
      <c r="C5609">
        <v>7648876604</v>
      </c>
      <c r="D5609" s="2">
        <v>1</v>
      </c>
      <c r="E5609" t="str">
        <f>"4574674200798668"</f>
        <v>4574674200798668</v>
      </c>
      <c r="F5609" t="str">
        <f>"861"</f>
        <v>861</v>
      </c>
      <c r="G5609">
        <v>1</v>
      </c>
      <c r="H5609">
        <v>2023</v>
      </c>
      <c r="I5609" t="s">
        <v>5724</v>
      </c>
    </row>
    <row r="5610" spans="1:9" x14ac:dyDescent="0.3">
      <c r="A5610" t="s">
        <v>10130</v>
      </c>
      <c r="B5610" t="s">
        <v>22</v>
      </c>
      <c r="C5610">
        <v>7648876604</v>
      </c>
      <c r="D5610" s="2">
        <v>1</v>
      </c>
      <c r="E5610" t="str">
        <f>"4574674200798692"</f>
        <v>4574674200798692</v>
      </c>
      <c r="F5610" t="str">
        <f>"229"</f>
        <v>229</v>
      </c>
      <c r="G5610">
        <v>1</v>
      </c>
      <c r="H5610">
        <v>2023</v>
      </c>
      <c r="I5610" t="s">
        <v>5725</v>
      </c>
    </row>
    <row r="5611" spans="1:9" x14ac:dyDescent="0.3">
      <c r="A5611" t="s">
        <v>10130</v>
      </c>
      <c r="B5611" t="s">
        <v>22</v>
      </c>
      <c r="C5611">
        <v>7648876604</v>
      </c>
      <c r="D5611" s="2">
        <v>1</v>
      </c>
      <c r="E5611" t="str">
        <f>"4574674200798700"</f>
        <v>4574674200798700</v>
      </c>
      <c r="F5611" t="str">
        <f>"586"</f>
        <v>586</v>
      </c>
      <c r="G5611">
        <v>1</v>
      </c>
      <c r="H5611">
        <v>2023</v>
      </c>
      <c r="I5611" t="s">
        <v>5726</v>
      </c>
    </row>
    <row r="5612" spans="1:9" x14ac:dyDescent="0.3">
      <c r="A5612" t="s">
        <v>10130</v>
      </c>
      <c r="B5612" t="s">
        <v>22</v>
      </c>
      <c r="C5612">
        <v>7648876604</v>
      </c>
      <c r="D5612" s="2">
        <v>1</v>
      </c>
      <c r="E5612" t="str">
        <f>"4574674200798726"</f>
        <v>4574674200798726</v>
      </c>
      <c r="F5612" t="str">
        <f>"527"</f>
        <v>527</v>
      </c>
      <c r="G5612">
        <v>1</v>
      </c>
      <c r="H5612">
        <v>2023</v>
      </c>
      <c r="I5612" t="s">
        <v>5727</v>
      </c>
    </row>
    <row r="5613" spans="1:9" x14ac:dyDescent="0.3">
      <c r="A5613" t="s">
        <v>10130</v>
      </c>
      <c r="B5613" t="s">
        <v>22</v>
      </c>
      <c r="C5613">
        <v>7648876604</v>
      </c>
      <c r="D5613" s="2">
        <v>1</v>
      </c>
      <c r="E5613" t="str">
        <f>"4574674200798908"</f>
        <v>4574674200798908</v>
      </c>
      <c r="F5613" t="str">
        <f>"138"</f>
        <v>138</v>
      </c>
      <c r="G5613">
        <v>1</v>
      </c>
      <c r="H5613">
        <v>2023</v>
      </c>
      <c r="I5613" t="s">
        <v>5728</v>
      </c>
    </row>
    <row r="5614" spans="1:9" x14ac:dyDescent="0.3">
      <c r="A5614" t="s">
        <v>10130</v>
      </c>
      <c r="B5614" t="s">
        <v>22</v>
      </c>
      <c r="C5614">
        <v>7648876604</v>
      </c>
      <c r="D5614" s="2">
        <v>1</v>
      </c>
      <c r="E5614" t="str">
        <f>"4574674200798791"</f>
        <v>4574674200798791</v>
      </c>
      <c r="F5614" t="str">
        <f>"489"</f>
        <v>489</v>
      </c>
      <c r="G5614">
        <v>1</v>
      </c>
      <c r="H5614">
        <v>2023</v>
      </c>
      <c r="I5614" t="s">
        <v>5729</v>
      </c>
    </row>
    <row r="5615" spans="1:9" x14ac:dyDescent="0.3">
      <c r="A5615" t="s">
        <v>10130</v>
      </c>
      <c r="B5615" t="s">
        <v>22</v>
      </c>
      <c r="C5615">
        <v>7648876604</v>
      </c>
      <c r="D5615" s="2">
        <v>1</v>
      </c>
      <c r="E5615" t="str">
        <f>"4574674200798767"</f>
        <v>4574674200798767</v>
      </c>
      <c r="F5615" t="str">
        <f>"787"</f>
        <v>787</v>
      </c>
      <c r="G5615">
        <v>1</v>
      </c>
      <c r="H5615">
        <v>2023</v>
      </c>
      <c r="I5615" t="s">
        <v>5730</v>
      </c>
    </row>
    <row r="5616" spans="1:9" x14ac:dyDescent="0.3">
      <c r="A5616" t="s">
        <v>10130</v>
      </c>
      <c r="B5616" t="s">
        <v>22</v>
      </c>
      <c r="C5616">
        <v>7648876604</v>
      </c>
      <c r="D5616" s="2">
        <v>1</v>
      </c>
      <c r="E5616" t="str">
        <f>"4574674200799070"</f>
        <v>4574674200799070</v>
      </c>
      <c r="F5616" t="str">
        <f>"067"</f>
        <v>067</v>
      </c>
      <c r="G5616">
        <v>1</v>
      </c>
      <c r="H5616">
        <v>2023</v>
      </c>
      <c r="I5616" t="s">
        <v>5731</v>
      </c>
    </row>
    <row r="5617" spans="1:9" x14ac:dyDescent="0.3">
      <c r="A5617" t="s">
        <v>10130</v>
      </c>
      <c r="B5617" t="s">
        <v>22</v>
      </c>
      <c r="C5617">
        <v>7648876604</v>
      </c>
      <c r="D5617" s="2">
        <v>1</v>
      </c>
      <c r="E5617" t="str">
        <f>"4574674200799211"</f>
        <v>4574674200799211</v>
      </c>
      <c r="F5617" t="str">
        <f>"068"</f>
        <v>068</v>
      </c>
      <c r="G5617">
        <v>1</v>
      </c>
      <c r="H5617">
        <v>2023</v>
      </c>
      <c r="I5617" t="s">
        <v>5732</v>
      </c>
    </row>
    <row r="5618" spans="1:9" x14ac:dyDescent="0.3">
      <c r="A5618" t="s">
        <v>10131</v>
      </c>
      <c r="B5618" t="s">
        <v>23</v>
      </c>
      <c r="C5618">
        <v>7648876604</v>
      </c>
      <c r="D5618" s="2">
        <v>1</v>
      </c>
      <c r="E5618" t="str">
        <f>"4574674200799468"</f>
        <v>4574674200799468</v>
      </c>
      <c r="F5618" t="str">
        <f>"892"</f>
        <v>892</v>
      </c>
      <c r="G5618">
        <v>1</v>
      </c>
      <c r="H5618">
        <v>2023</v>
      </c>
      <c r="I5618" t="s">
        <v>5733</v>
      </c>
    </row>
    <row r="5619" spans="1:9" x14ac:dyDescent="0.3">
      <c r="A5619" t="s">
        <v>10131</v>
      </c>
      <c r="B5619" t="s">
        <v>23</v>
      </c>
      <c r="C5619">
        <v>7648876604</v>
      </c>
      <c r="D5619" s="2">
        <v>1</v>
      </c>
      <c r="E5619" t="str">
        <f>"4574674200799302"</f>
        <v>4574674200799302</v>
      </c>
      <c r="F5619" t="str">
        <f>"063"</f>
        <v>063</v>
      </c>
      <c r="G5619">
        <v>1</v>
      </c>
      <c r="H5619">
        <v>2023</v>
      </c>
      <c r="I5619" t="s">
        <v>5734</v>
      </c>
    </row>
    <row r="5620" spans="1:9" x14ac:dyDescent="0.3">
      <c r="A5620" t="s">
        <v>10131</v>
      </c>
      <c r="B5620" t="s">
        <v>23</v>
      </c>
      <c r="C5620">
        <v>7648876604</v>
      </c>
      <c r="D5620" s="2">
        <v>1</v>
      </c>
      <c r="E5620" t="str">
        <f>"4574674200799294"</f>
        <v>4574674200799294</v>
      </c>
      <c r="F5620" t="str">
        <f>"614"</f>
        <v>614</v>
      </c>
      <c r="G5620">
        <v>1</v>
      </c>
      <c r="H5620">
        <v>2023</v>
      </c>
      <c r="I5620" t="s">
        <v>5735</v>
      </c>
    </row>
    <row r="5621" spans="1:9" x14ac:dyDescent="0.3">
      <c r="A5621" t="s">
        <v>10131</v>
      </c>
      <c r="B5621" t="s">
        <v>23</v>
      </c>
      <c r="C5621">
        <v>7648876604</v>
      </c>
      <c r="D5621" s="2">
        <v>1</v>
      </c>
      <c r="E5621" t="str">
        <f>"4574674200799328"</f>
        <v>4574674200799328</v>
      </c>
      <c r="F5621" t="str">
        <f>"785"</f>
        <v>785</v>
      </c>
      <c r="G5621">
        <v>1</v>
      </c>
      <c r="H5621">
        <v>2023</v>
      </c>
      <c r="I5621" t="s">
        <v>5736</v>
      </c>
    </row>
    <row r="5622" spans="1:9" x14ac:dyDescent="0.3">
      <c r="A5622" t="s">
        <v>10131</v>
      </c>
      <c r="B5622" t="s">
        <v>23</v>
      </c>
      <c r="C5622">
        <v>7648876604</v>
      </c>
      <c r="D5622" s="2">
        <v>1</v>
      </c>
      <c r="E5622" t="str">
        <f>"4574674200799351"</f>
        <v>4574674200799351</v>
      </c>
      <c r="F5622" t="str">
        <f>"451"</f>
        <v>451</v>
      </c>
      <c r="G5622">
        <v>1</v>
      </c>
      <c r="H5622">
        <v>2023</v>
      </c>
      <c r="I5622" t="s">
        <v>5737</v>
      </c>
    </row>
    <row r="5623" spans="1:9" x14ac:dyDescent="0.3">
      <c r="A5623" t="s">
        <v>10131</v>
      </c>
      <c r="B5623" t="s">
        <v>23</v>
      </c>
      <c r="C5623">
        <v>7648876604</v>
      </c>
      <c r="D5623" s="2">
        <v>1</v>
      </c>
      <c r="E5623" t="str">
        <f>"4574674200799369"</f>
        <v>4574674200799369</v>
      </c>
      <c r="F5623" t="str">
        <f>"802"</f>
        <v>802</v>
      </c>
      <c r="G5623">
        <v>1</v>
      </c>
      <c r="H5623">
        <v>2023</v>
      </c>
      <c r="I5623" t="s">
        <v>5738</v>
      </c>
    </row>
    <row r="5624" spans="1:9" x14ac:dyDescent="0.3">
      <c r="A5624" t="s">
        <v>10131</v>
      </c>
      <c r="B5624" t="s">
        <v>23</v>
      </c>
      <c r="C5624">
        <v>7648876604</v>
      </c>
      <c r="D5624" s="2">
        <v>1</v>
      </c>
      <c r="E5624" t="str">
        <f>"4574674200799591"</f>
        <v>4574674200799591</v>
      </c>
      <c r="F5624" t="str">
        <f>"944"</f>
        <v>944</v>
      </c>
      <c r="G5624">
        <v>1</v>
      </c>
      <c r="H5624">
        <v>2023</v>
      </c>
      <c r="I5624" t="s">
        <v>5739</v>
      </c>
    </row>
    <row r="5625" spans="1:9" x14ac:dyDescent="0.3">
      <c r="A5625" t="s">
        <v>10131</v>
      </c>
      <c r="B5625" t="s">
        <v>23</v>
      </c>
      <c r="C5625">
        <v>7648876604</v>
      </c>
      <c r="D5625" s="2">
        <v>1</v>
      </c>
      <c r="E5625" t="str">
        <f>"4574674200799823"</f>
        <v>4574674200799823</v>
      </c>
      <c r="F5625" t="str">
        <f>"432"</f>
        <v>432</v>
      </c>
      <c r="G5625">
        <v>1</v>
      </c>
      <c r="H5625">
        <v>2023</v>
      </c>
      <c r="I5625" t="s">
        <v>5740</v>
      </c>
    </row>
    <row r="5626" spans="1:9" x14ac:dyDescent="0.3">
      <c r="A5626" t="s">
        <v>10131</v>
      </c>
      <c r="B5626" t="s">
        <v>23</v>
      </c>
      <c r="C5626">
        <v>7648876604</v>
      </c>
      <c r="D5626" s="2">
        <v>1</v>
      </c>
      <c r="E5626" t="str">
        <f>"4574674200799815"</f>
        <v>4574674200799815</v>
      </c>
      <c r="F5626" t="str">
        <f>"914"</f>
        <v>914</v>
      </c>
      <c r="G5626">
        <v>1</v>
      </c>
      <c r="H5626">
        <v>2023</v>
      </c>
      <c r="I5626" t="s">
        <v>5741</v>
      </c>
    </row>
    <row r="5627" spans="1:9" x14ac:dyDescent="0.3">
      <c r="A5627" t="s">
        <v>10131</v>
      </c>
      <c r="B5627" t="s">
        <v>23</v>
      </c>
      <c r="C5627">
        <v>7648876604</v>
      </c>
      <c r="D5627" s="2">
        <v>1</v>
      </c>
      <c r="E5627" t="str">
        <f>"4574674200799849"</f>
        <v>4574674200799849</v>
      </c>
      <c r="F5627" t="str">
        <f>"851"</f>
        <v>851</v>
      </c>
      <c r="G5627">
        <v>1</v>
      </c>
      <c r="H5627">
        <v>2023</v>
      </c>
      <c r="I5627" t="s">
        <v>5742</v>
      </c>
    </row>
    <row r="5628" spans="1:9" x14ac:dyDescent="0.3">
      <c r="A5628" t="s">
        <v>10132</v>
      </c>
      <c r="B5628" t="s">
        <v>24</v>
      </c>
      <c r="C5628">
        <v>7648876604</v>
      </c>
      <c r="D5628" s="2">
        <v>1</v>
      </c>
      <c r="E5628" t="str">
        <f>"4574674200799732"</f>
        <v>4574674200799732</v>
      </c>
      <c r="F5628" t="str">
        <f>"106"</f>
        <v>106</v>
      </c>
      <c r="G5628">
        <v>1</v>
      </c>
      <c r="H5628">
        <v>2023</v>
      </c>
      <c r="I5628" t="s">
        <v>5743</v>
      </c>
    </row>
    <row r="5629" spans="1:9" x14ac:dyDescent="0.3">
      <c r="A5629" t="s">
        <v>10132</v>
      </c>
      <c r="B5629" t="s">
        <v>24</v>
      </c>
      <c r="C5629">
        <v>7648876604</v>
      </c>
      <c r="D5629" s="2">
        <v>1</v>
      </c>
      <c r="E5629" t="str">
        <f>"4574674200799864"</f>
        <v>4574674200799864</v>
      </c>
      <c r="F5629" t="str">
        <f>"294"</f>
        <v>294</v>
      </c>
      <c r="G5629">
        <v>1</v>
      </c>
      <c r="H5629">
        <v>2023</v>
      </c>
      <c r="I5629" t="s">
        <v>5744</v>
      </c>
    </row>
    <row r="5630" spans="1:9" x14ac:dyDescent="0.3">
      <c r="A5630" t="s">
        <v>10132</v>
      </c>
      <c r="B5630" t="s">
        <v>24</v>
      </c>
      <c r="C5630">
        <v>7648876604</v>
      </c>
      <c r="D5630" s="2">
        <v>1</v>
      </c>
      <c r="E5630" t="str">
        <f>"4574674200799872"</f>
        <v>4574674200799872</v>
      </c>
      <c r="F5630" t="str">
        <f>"009"</f>
        <v>009</v>
      </c>
      <c r="G5630">
        <v>1</v>
      </c>
      <c r="H5630">
        <v>2023</v>
      </c>
      <c r="I5630" t="s">
        <v>5745</v>
      </c>
    </row>
    <row r="5631" spans="1:9" x14ac:dyDescent="0.3">
      <c r="A5631" t="s">
        <v>10132</v>
      </c>
      <c r="B5631" t="s">
        <v>24</v>
      </c>
      <c r="C5631">
        <v>7648876604</v>
      </c>
      <c r="D5631" s="2">
        <v>1</v>
      </c>
      <c r="E5631" t="str">
        <f>"4574674200799880"</f>
        <v>4574674200799880</v>
      </c>
      <c r="F5631" t="str">
        <f>"387"</f>
        <v>387</v>
      </c>
      <c r="G5631">
        <v>1</v>
      </c>
      <c r="H5631">
        <v>2023</v>
      </c>
      <c r="I5631" t="s">
        <v>5746</v>
      </c>
    </row>
    <row r="5632" spans="1:9" x14ac:dyDescent="0.3">
      <c r="A5632" t="s">
        <v>10132</v>
      </c>
      <c r="B5632" t="s">
        <v>24</v>
      </c>
      <c r="C5632">
        <v>7648876604</v>
      </c>
      <c r="D5632" s="2">
        <v>1</v>
      </c>
      <c r="E5632" t="str">
        <f>"4574674200799948"</f>
        <v>4574674200799948</v>
      </c>
      <c r="F5632" t="str">
        <f>"695"</f>
        <v>695</v>
      </c>
      <c r="G5632">
        <v>1</v>
      </c>
      <c r="H5632">
        <v>2023</v>
      </c>
      <c r="I5632" t="s">
        <v>5747</v>
      </c>
    </row>
    <row r="5633" spans="1:9" x14ac:dyDescent="0.3">
      <c r="A5633" t="s">
        <v>10132</v>
      </c>
      <c r="B5633" t="s">
        <v>24</v>
      </c>
      <c r="C5633">
        <v>7648876604</v>
      </c>
      <c r="D5633" s="2">
        <v>1</v>
      </c>
      <c r="E5633" t="str">
        <f>"4574674200799955"</f>
        <v>4574674200799955</v>
      </c>
      <c r="F5633" t="str">
        <f>"832"</f>
        <v>832</v>
      </c>
      <c r="G5633">
        <v>1</v>
      </c>
      <c r="H5633">
        <v>2023</v>
      </c>
      <c r="I5633" t="s">
        <v>5748</v>
      </c>
    </row>
    <row r="5634" spans="1:9" x14ac:dyDescent="0.3">
      <c r="A5634" t="s">
        <v>10132</v>
      </c>
      <c r="B5634" t="s">
        <v>24</v>
      </c>
      <c r="C5634">
        <v>7648876604</v>
      </c>
      <c r="D5634" s="2">
        <v>1</v>
      </c>
      <c r="E5634" t="str">
        <f>"4574674200800134"</f>
        <v>4574674200800134</v>
      </c>
      <c r="F5634" t="str">
        <f>"414"</f>
        <v>414</v>
      </c>
      <c r="G5634">
        <v>1</v>
      </c>
      <c r="H5634">
        <v>2023</v>
      </c>
      <c r="I5634" t="s">
        <v>5749</v>
      </c>
    </row>
    <row r="5635" spans="1:9" x14ac:dyDescent="0.3">
      <c r="A5635" t="s">
        <v>10132</v>
      </c>
      <c r="B5635" t="s">
        <v>24</v>
      </c>
      <c r="C5635">
        <v>7648876604</v>
      </c>
      <c r="D5635" s="2">
        <v>1</v>
      </c>
      <c r="E5635" t="str">
        <f>"4574674200799989"</f>
        <v>4574674200799989</v>
      </c>
      <c r="F5635" t="str">
        <f>"625"</f>
        <v>625</v>
      </c>
      <c r="G5635">
        <v>1</v>
      </c>
      <c r="H5635">
        <v>2023</v>
      </c>
      <c r="I5635" t="s">
        <v>5750</v>
      </c>
    </row>
    <row r="5636" spans="1:9" x14ac:dyDescent="0.3">
      <c r="A5636" t="s">
        <v>10132</v>
      </c>
      <c r="B5636" t="s">
        <v>24</v>
      </c>
      <c r="C5636">
        <v>7648876604</v>
      </c>
      <c r="D5636" s="2">
        <v>1</v>
      </c>
      <c r="E5636" t="str">
        <f>"4574674200799971"</f>
        <v>4574674200799971</v>
      </c>
      <c r="F5636" t="str">
        <f>"672"</f>
        <v>672</v>
      </c>
      <c r="G5636">
        <v>1</v>
      </c>
      <c r="H5636">
        <v>2023</v>
      </c>
      <c r="I5636" t="s">
        <v>5751</v>
      </c>
    </row>
    <row r="5637" spans="1:9" x14ac:dyDescent="0.3">
      <c r="A5637" t="s">
        <v>10132</v>
      </c>
      <c r="B5637" t="s">
        <v>24</v>
      </c>
      <c r="C5637">
        <v>7648876604</v>
      </c>
      <c r="D5637" s="2">
        <v>1</v>
      </c>
      <c r="E5637" t="str">
        <f>"4574674200799997"</f>
        <v>4574674200799997</v>
      </c>
      <c r="F5637" t="str">
        <f>"169"</f>
        <v>169</v>
      </c>
      <c r="G5637">
        <v>1</v>
      </c>
      <c r="H5637">
        <v>2023</v>
      </c>
      <c r="I5637" t="s">
        <v>5752</v>
      </c>
    </row>
    <row r="5638" spans="1:9" x14ac:dyDescent="0.3">
      <c r="A5638" t="s">
        <v>10133</v>
      </c>
      <c r="B5638" t="s">
        <v>25</v>
      </c>
      <c r="C5638">
        <v>7648876604</v>
      </c>
      <c r="D5638" s="2">
        <v>1</v>
      </c>
      <c r="E5638" t="str">
        <f>"4574674200800407"</f>
        <v>4574674200800407</v>
      </c>
      <c r="F5638" t="str">
        <f>"042"</f>
        <v>042</v>
      </c>
      <c r="G5638">
        <v>1</v>
      </c>
      <c r="H5638">
        <v>2023</v>
      </c>
      <c r="I5638" t="s">
        <v>5753</v>
      </c>
    </row>
    <row r="5639" spans="1:9" x14ac:dyDescent="0.3">
      <c r="A5639" t="s">
        <v>10133</v>
      </c>
      <c r="B5639" t="s">
        <v>25</v>
      </c>
      <c r="C5639">
        <v>7648876604</v>
      </c>
      <c r="D5639" s="2">
        <v>1</v>
      </c>
      <c r="E5639" t="str">
        <f>"4574674200800365"</f>
        <v>4574674200800365</v>
      </c>
      <c r="F5639" t="str">
        <f>"260"</f>
        <v>260</v>
      </c>
      <c r="G5639">
        <v>1</v>
      </c>
      <c r="H5639">
        <v>2023</v>
      </c>
      <c r="I5639" t="s">
        <v>5754</v>
      </c>
    </row>
    <row r="5640" spans="1:9" x14ac:dyDescent="0.3">
      <c r="A5640" t="s">
        <v>10133</v>
      </c>
      <c r="B5640" t="s">
        <v>25</v>
      </c>
      <c r="C5640">
        <v>7648876604</v>
      </c>
      <c r="D5640" s="2">
        <v>1</v>
      </c>
      <c r="E5640" t="str">
        <f>"4574674200800480"</f>
        <v>4574674200800480</v>
      </c>
      <c r="F5640" t="str">
        <f>"861"</f>
        <v>861</v>
      </c>
      <c r="G5640">
        <v>1</v>
      </c>
      <c r="H5640">
        <v>2023</v>
      </c>
      <c r="I5640" t="s">
        <v>5755</v>
      </c>
    </row>
    <row r="5641" spans="1:9" x14ac:dyDescent="0.3">
      <c r="A5641" t="s">
        <v>10133</v>
      </c>
      <c r="B5641" t="s">
        <v>25</v>
      </c>
      <c r="C5641">
        <v>7648876604</v>
      </c>
      <c r="D5641" s="2">
        <v>1</v>
      </c>
      <c r="E5641" t="str">
        <f>"4574674200800514"</f>
        <v>4574674200800514</v>
      </c>
      <c r="F5641" t="str">
        <f>"052"</f>
        <v>052</v>
      </c>
      <c r="G5641">
        <v>1</v>
      </c>
      <c r="H5641">
        <v>2023</v>
      </c>
      <c r="I5641" t="s">
        <v>5756</v>
      </c>
    </row>
    <row r="5642" spans="1:9" x14ac:dyDescent="0.3">
      <c r="A5642" t="s">
        <v>10133</v>
      </c>
      <c r="B5642" t="s">
        <v>25</v>
      </c>
      <c r="C5642">
        <v>7648876604</v>
      </c>
      <c r="D5642" s="2">
        <v>1</v>
      </c>
      <c r="E5642" t="str">
        <f>"4574674200800522"</f>
        <v>4574674200800522</v>
      </c>
      <c r="F5642" t="str">
        <f>"708"</f>
        <v>708</v>
      </c>
      <c r="G5642">
        <v>1</v>
      </c>
      <c r="H5642">
        <v>2023</v>
      </c>
      <c r="I5642" t="s">
        <v>5757</v>
      </c>
    </row>
    <row r="5643" spans="1:9" x14ac:dyDescent="0.3">
      <c r="A5643" t="s">
        <v>10133</v>
      </c>
      <c r="B5643" t="s">
        <v>25</v>
      </c>
      <c r="C5643">
        <v>7648876604</v>
      </c>
      <c r="D5643" s="2">
        <v>1</v>
      </c>
      <c r="E5643" t="str">
        <f>"4574674200800563"</f>
        <v>4574674200800563</v>
      </c>
      <c r="F5643" t="str">
        <f>"812"</f>
        <v>812</v>
      </c>
      <c r="G5643">
        <v>1</v>
      </c>
      <c r="H5643">
        <v>2023</v>
      </c>
      <c r="I5643" t="s">
        <v>5758</v>
      </c>
    </row>
    <row r="5644" spans="1:9" x14ac:dyDescent="0.3">
      <c r="A5644" t="s">
        <v>10133</v>
      </c>
      <c r="B5644" t="s">
        <v>25</v>
      </c>
      <c r="C5644">
        <v>7648876604</v>
      </c>
      <c r="D5644" s="2">
        <v>1</v>
      </c>
      <c r="E5644" t="str">
        <f>"4574674200800589"</f>
        <v>4574674200800589</v>
      </c>
      <c r="F5644" t="str">
        <f>"644"</f>
        <v>644</v>
      </c>
      <c r="G5644">
        <v>1</v>
      </c>
      <c r="H5644">
        <v>2023</v>
      </c>
      <c r="I5644" t="s">
        <v>5759</v>
      </c>
    </row>
    <row r="5645" spans="1:9" x14ac:dyDescent="0.3">
      <c r="A5645" t="s">
        <v>10133</v>
      </c>
      <c r="B5645" t="s">
        <v>25</v>
      </c>
      <c r="C5645">
        <v>7648876604</v>
      </c>
      <c r="D5645" s="2">
        <v>1</v>
      </c>
      <c r="E5645" t="str">
        <f>"4574674200800860"</f>
        <v>4574674200800860</v>
      </c>
      <c r="F5645" t="str">
        <f>"410"</f>
        <v>410</v>
      </c>
      <c r="G5645">
        <v>1</v>
      </c>
      <c r="H5645">
        <v>2023</v>
      </c>
      <c r="I5645" t="s">
        <v>5760</v>
      </c>
    </row>
    <row r="5646" spans="1:9" x14ac:dyDescent="0.3">
      <c r="A5646" t="s">
        <v>10133</v>
      </c>
      <c r="B5646" t="s">
        <v>25</v>
      </c>
      <c r="C5646">
        <v>7648876604</v>
      </c>
      <c r="D5646" s="2">
        <v>1</v>
      </c>
      <c r="E5646" t="str">
        <f>"4574674200801025"</f>
        <v>4574674200801025</v>
      </c>
      <c r="F5646" t="str">
        <f>"781"</f>
        <v>781</v>
      </c>
      <c r="G5646">
        <v>1</v>
      </c>
      <c r="H5646">
        <v>2023</v>
      </c>
      <c r="I5646" t="s">
        <v>5761</v>
      </c>
    </row>
    <row r="5647" spans="1:9" x14ac:dyDescent="0.3">
      <c r="A5647" t="s">
        <v>10133</v>
      </c>
      <c r="B5647" t="s">
        <v>25</v>
      </c>
      <c r="C5647">
        <v>7648876604</v>
      </c>
      <c r="D5647" s="2">
        <v>1</v>
      </c>
      <c r="E5647" t="str">
        <f>"4574674200801017"</f>
        <v>4574674200801017</v>
      </c>
      <c r="F5647" t="str">
        <f>"778"</f>
        <v>778</v>
      </c>
      <c r="G5647">
        <v>1</v>
      </c>
      <c r="H5647">
        <v>2023</v>
      </c>
      <c r="I5647" t="s">
        <v>5762</v>
      </c>
    </row>
    <row r="5648" spans="1:9" x14ac:dyDescent="0.3">
      <c r="A5648" t="s">
        <v>10134</v>
      </c>
      <c r="B5648" t="s">
        <v>26</v>
      </c>
      <c r="C5648">
        <v>7648876604</v>
      </c>
      <c r="D5648" s="2">
        <v>1</v>
      </c>
      <c r="E5648" t="str">
        <f>"4574674200801033"</f>
        <v>4574674200801033</v>
      </c>
      <c r="F5648" t="str">
        <f>"392"</f>
        <v>392</v>
      </c>
      <c r="G5648">
        <v>1</v>
      </c>
      <c r="H5648">
        <v>2023</v>
      </c>
      <c r="I5648" t="s">
        <v>5763</v>
      </c>
    </row>
    <row r="5649" spans="1:9" x14ac:dyDescent="0.3">
      <c r="A5649" t="s">
        <v>10134</v>
      </c>
      <c r="B5649" t="s">
        <v>26</v>
      </c>
      <c r="C5649">
        <v>7648876604</v>
      </c>
      <c r="D5649" s="2">
        <v>1</v>
      </c>
      <c r="E5649" t="str">
        <f>"4574674200801041"</f>
        <v>4574674200801041</v>
      </c>
      <c r="F5649" t="str">
        <f>"508"</f>
        <v>508</v>
      </c>
      <c r="G5649">
        <v>1</v>
      </c>
      <c r="H5649">
        <v>2023</v>
      </c>
      <c r="I5649" t="s">
        <v>5764</v>
      </c>
    </row>
    <row r="5650" spans="1:9" x14ac:dyDescent="0.3">
      <c r="A5650" t="s">
        <v>10134</v>
      </c>
      <c r="B5650" t="s">
        <v>26</v>
      </c>
      <c r="C5650">
        <v>7648876604</v>
      </c>
      <c r="D5650" s="2">
        <v>1</v>
      </c>
      <c r="E5650" t="str">
        <f>"4574674200801082"</f>
        <v>4574674200801082</v>
      </c>
      <c r="F5650" t="str">
        <f>"936"</f>
        <v>936</v>
      </c>
      <c r="G5650">
        <v>1</v>
      </c>
      <c r="H5650">
        <v>2023</v>
      </c>
      <c r="I5650" t="s">
        <v>5765</v>
      </c>
    </row>
    <row r="5651" spans="1:9" x14ac:dyDescent="0.3">
      <c r="A5651" t="s">
        <v>10134</v>
      </c>
      <c r="B5651" t="s">
        <v>26</v>
      </c>
      <c r="C5651">
        <v>7648876604</v>
      </c>
      <c r="D5651" s="2">
        <v>1</v>
      </c>
      <c r="E5651" t="str">
        <f>"4574674200801090"</f>
        <v>4574674200801090</v>
      </c>
      <c r="F5651" t="str">
        <f>"987"</f>
        <v>987</v>
      </c>
      <c r="G5651">
        <v>1</v>
      </c>
      <c r="H5651">
        <v>2023</v>
      </c>
      <c r="I5651" t="s">
        <v>5766</v>
      </c>
    </row>
    <row r="5652" spans="1:9" x14ac:dyDescent="0.3">
      <c r="A5652" t="s">
        <v>10134</v>
      </c>
      <c r="B5652" t="s">
        <v>26</v>
      </c>
      <c r="C5652">
        <v>7648876604</v>
      </c>
      <c r="D5652" s="2">
        <v>1</v>
      </c>
      <c r="E5652" t="str">
        <f>"4574674200801256"</f>
        <v>4574674200801256</v>
      </c>
      <c r="F5652" t="str">
        <f>"086"</f>
        <v>086</v>
      </c>
      <c r="G5652">
        <v>1</v>
      </c>
      <c r="H5652">
        <v>2023</v>
      </c>
      <c r="I5652" t="s">
        <v>5767</v>
      </c>
    </row>
    <row r="5653" spans="1:9" x14ac:dyDescent="0.3">
      <c r="A5653" t="s">
        <v>10134</v>
      </c>
      <c r="B5653" t="s">
        <v>26</v>
      </c>
      <c r="C5653">
        <v>7648876604</v>
      </c>
      <c r="D5653" s="2">
        <v>1</v>
      </c>
      <c r="E5653" t="str">
        <f>"4574674200801124"</f>
        <v>4574674200801124</v>
      </c>
      <c r="F5653" t="str">
        <f>"764"</f>
        <v>764</v>
      </c>
      <c r="G5653">
        <v>1</v>
      </c>
      <c r="H5653">
        <v>2023</v>
      </c>
      <c r="I5653" t="s">
        <v>5768</v>
      </c>
    </row>
    <row r="5654" spans="1:9" x14ac:dyDescent="0.3">
      <c r="A5654" t="s">
        <v>10134</v>
      </c>
      <c r="B5654" t="s">
        <v>26</v>
      </c>
      <c r="C5654">
        <v>7648876604</v>
      </c>
      <c r="D5654" s="2">
        <v>1</v>
      </c>
      <c r="E5654" t="str">
        <f>"4574674200801157"</f>
        <v>4574674200801157</v>
      </c>
      <c r="F5654" t="str">
        <f>"876"</f>
        <v>876</v>
      </c>
      <c r="G5654">
        <v>1</v>
      </c>
      <c r="H5654">
        <v>2023</v>
      </c>
      <c r="I5654" t="s">
        <v>5769</v>
      </c>
    </row>
    <row r="5655" spans="1:9" x14ac:dyDescent="0.3">
      <c r="A5655" t="s">
        <v>10134</v>
      </c>
      <c r="B5655" t="s">
        <v>26</v>
      </c>
      <c r="C5655">
        <v>7648876604</v>
      </c>
      <c r="D5655" s="2">
        <v>1</v>
      </c>
      <c r="E5655" t="str">
        <f>"4574674200801140"</f>
        <v>4574674200801140</v>
      </c>
      <c r="F5655" t="str">
        <f>"060"</f>
        <v>060</v>
      </c>
      <c r="G5655">
        <v>1</v>
      </c>
      <c r="H5655">
        <v>2023</v>
      </c>
      <c r="I5655" t="s">
        <v>5770</v>
      </c>
    </row>
    <row r="5656" spans="1:9" x14ac:dyDescent="0.3">
      <c r="A5656" t="s">
        <v>10134</v>
      </c>
      <c r="B5656" t="s">
        <v>26</v>
      </c>
      <c r="C5656">
        <v>7648876604</v>
      </c>
      <c r="D5656" s="2">
        <v>1</v>
      </c>
      <c r="E5656" t="str">
        <f>"4574674200801165"</f>
        <v>4574674200801165</v>
      </c>
      <c r="F5656" t="str">
        <f>"128"</f>
        <v>128</v>
      </c>
      <c r="G5656">
        <v>1</v>
      </c>
      <c r="H5656">
        <v>2023</v>
      </c>
      <c r="I5656" t="s">
        <v>5771</v>
      </c>
    </row>
    <row r="5657" spans="1:9" x14ac:dyDescent="0.3">
      <c r="A5657" t="s">
        <v>10134</v>
      </c>
      <c r="B5657" t="s">
        <v>26</v>
      </c>
      <c r="C5657">
        <v>7648876604</v>
      </c>
      <c r="D5657" s="2">
        <v>1</v>
      </c>
      <c r="E5657" t="str">
        <f>"4574674200801397"</f>
        <v>4574674200801397</v>
      </c>
      <c r="F5657" t="str">
        <f>"414"</f>
        <v>414</v>
      </c>
      <c r="G5657">
        <v>1</v>
      </c>
      <c r="H5657">
        <v>2023</v>
      </c>
      <c r="I5657" t="s">
        <v>5772</v>
      </c>
    </row>
    <row r="5658" spans="1:9" x14ac:dyDescent="0.3">
      <c r="A5658" t="s">
        <v>10135</v>
      </c>
      <c r="B5658" t="s">
        <v>27</v>
      </c>
      <c r="C5658">
        <v>7648876604</v>
      </c>
      <c r="D5658" s="2">
        <v>1</v>
      </c>
      <c r="E5658" t="str">
        <f>"4574674200801611"</f>
        <v>4574674200801611</v>
      </c>
      <c r="F5658" t="str">
        <f>"502"</f>
        <v>502</v>
      </c>
      <c r="G5658">
        <v>1</v>
      </c>
      <c r="H5658">
        <v>2023</v>
      </c>
      <c r="I5658" t="s">
        <v>5773</v>
      </c>
    </row>
    <row r="5659" spans="1:9" x14ac:dyDescent="0.3">
      <c r="A5659" t="s">
        <v>10135</v>
      </c>
      <c r="B5659" t="s">
        <v>27</v>
      </c>
      <c r="C5659">
        <v>7648876604</v>
      </c>
      <c r="D5659" s="2">
        <v>1</v>
      </c>
      <c r="E5659" t="str">
        <f>"4574674200801603"</f>
        <v>4574674200801603</v>
      </c>
      <c r="F5659" t="str">
        <f>"893"</f>
        <v>893</v>
      </c>
      <c r="G5659">
        <v>1</v>
      </c>
      <c r="H5659">
        <v>2023</v>
      </c>
      <c r="I5659" t="s">
        <v>5774</v>
      </c>
    </row>
    <row r="5660" spans="1:9" x14ac:dyDescent="0.3">
      <c r="A5660" t="s">
        <v>10135</v>
      </c>
      <c r="B5660" t="s">
        <v>27</v>
      </c>
      <c r="C5660">
        <v>7648876604</v>
      </c>
      <c r="D5660" s="2">
        <v>1</v>
      </c>
      <c r="E5660" t="str">
        <f>"4574674200801629"</f>
        <v>4574674200801629</v>
      </c>
      <c r="F5660" t="str">
        <f>"419"</f>
        <v>419</v>
      </c>
      <c r="G5660">
        <v>1</v>
      </c>
      <c r="H5660">
        <v>2023</v>
      </c>
      <c r="I5660" t="s">
        <v>5775</v>
      </c>
    </row>
    <row r="5661" spans="1:9" x14ac:dyDescent="0.3">
      <c r="A5661" t="s">
        <v>10135</v>
      </c>
      <c r="B5661" t="s">
        <v>27</v>
      </c>
      <c r="C5661">
        <v>7648876604</v>
      </c>
      <c r="D5661" s="2">
        <v>1</v>
      </c>
      <c r="E5661" t="str">
        <f>"4574674200801652"</f>
        <v>4574674200801652</v>
      </c>
      <c r="F5661" t="str">
        <f>"066"</f>
        <v>066</v>
      </c>
      <c r="G5661">
        <v>1</v>
      </c>
      <c r="H5661">
        <v>2023</v>
      </c>
      <c r="I5661" t="s">
        <v>5776</v>
      </c>
    </row>
    <row r="5662" spans="1:9" x14ac:dyDescent="0.3">
      <c r="A5662" t="s">
        <v>10135</v>
      </c>
      <c r="B5662" t="s">
        <v>27</v>
      </c>
      <c r="C5662">
        <v>7648876604</v>
      </c>
      <c r="D5662" s="2">
        <v>1</v>
      </c>
      <c r="E5662" t="str">
        <f>"4574674200801678"</f>
        <v>4574674200801678</v>
      </c>
      <c r="F5662" t="str">
        <f>"301"</f>
        <v>301</v>
      </c>
      <c r="G5662">
        <v>1</v>
      </c>
      <c r="H5662">
        <v>2023</v>
      </c>
      <c r="I5662" t="s">
        <v>5777</v>
      </c>
    </row>
    <row r="5663" spans="1:9" x14ac:dyDescent="0.3">
      <c r="A5663" t="s">
        <v>10135</v>
      </c>
      <c r="B5663" t="s">
        <v>27</v>
      </c>
      <c r="C5663">
        <v>7648876604</v>
      </c>
      <c r="D5663" s="2">
        <v>1</v>
      </c>
      <c r="E5663" t="str">
        <f>"4574674200801686"</f>
        <v>4574674200801686</v>
      </c>
      <c r="F5663" t="str">
        <f>"877"</f>
        <v>877</v>
      </c>
      <c r="G5663">
        <v>1</v>
      </c>
      <c r="H5663">
        <v>2023</v>
      </c>
      <c r="I5663" t="s">
        <v>5778</v>
      </c>
    </row>
    <row r="5664" spans="1:9" x14ac:dyDescent="0.3">
      <c r="A5664" t="s">
        <v>10135</v>
      </c>
      <c r="B5664" t="s">
        <v>27</v>
      </c>
      <c r="C5664">
        <v>7648876604</v>
      </c>
      <c r="D5664" s="2">
        <v>1</v>
      </c>
      <c r="E5664" t="str">
        <f>"4574674200801827"</f>
        <v>4574674200801827</v>
      </c>
      <c r="F5664" t="str">
        <f>"807"</f>
        <v>807</v>
      </c>
      <c r="G5664">
        <v>1</v>
      </c>
      <c r="H5664">
        <v>2023</v>
      </c>
      <c r="I5664" t="s">
        <v>5779</v>
      </c>
    </row>
    <row r="5665" spans="1:9" x14ac:dyDescent="0.3">
      <c r="A5665" t="s">
        <v>10135</v>
      </c>
      <c r="B5665" t="s">
        <v>27</v>
      </c>
      <c r="C5665">
        <v>7648876604</v>
      </c>
      <c r="D5665" s="2">
        <v>1</v>
      </c>
      <c r="E5665" t="str">
        <f>"4574674200801728"</f>
        <v>4574674200801728</v>
      </c>
      <c r="F5665" t="str">
        <f>"186"</f>
        <v>186</v>
      </c>
      <c r="G5665">
        <v>1</v>
      </c>
      <c r="H5665">
        <v>2023</v>
      </c>
      <c r="I5665" t="s">
        <v>5780</v>
      </c>
    </row>
    <row r="5666" spans="1:9" x14ac:dyDescent="0.3">
      <c r="A5666" t="s">
        <v>10135</v>
      </c>
      <c r="B5666" t="s">
        <v>27</v>
      </c>
      <c r="C5666">
        <v>7648876604</v>
      </c>
      <c r="D5666" s="2">
        <v>1</v>
      </c>
      <c r="E5666" t="str">
        <f>"4574674200801736"</f>
        <v>4574674200801736</v>
      </c>
      <c r="F5666" t="str">
        <f>"583"</f>
        <v>583</v>
      </c>
      <c r="G5666">
        <v>1</v>
      </c>
      <c r="H5666">
        <v>2023</v>
      </c>
      <c r="I5666" t="s">
        <v>5781</v>
      </c>
    </row>
    <row r="5667" spans="1:9" x14ac:dyDescent="0.3">
      <c r="A5667" t="s">
        <v>10135</v>
      </c>
      <c r="B5667" t="s">
        <v>27</v>
      </c>
      <c r="C5667">
        <v>7648876604</v>
      </c>
      <c r="D5667" s="2">
        <v>1</v>
      </c>
      <c r="E5667" t="str">
        <f>"4574674200801744"</f>
        <v>4574674200801744</v>
      </c>
      <c r="F5667" t="str">
        <f>"379"</f>
        <v>379</v>
      </c>
      <c r="G5667">
        <v>1</v>
      </c>
      <c r="H5667">
        <v>2023</v>
      </c>
      <c r="I5667" t="s">
        <v>5782</v>
      </c>
    </row>
    <row r="5668" spans="1:9" x14ac:dyDescent="0.3">
      <c r="A5668" t="s">
        <v>10136</v>
      </c>
      <c r="B5668" t="s">
        <v>28</v>
      </c>
      <c r="C5668">
        <v>7648876604</v>
      </c>
      <c r="D5668" s="2">
        <v>1</v>
      </c>
      <c r="E5668" t="str">
        <f>"4574674200801777"</f>
        <v>4574674200801777</v>
      </c>
      <c r="F5668" t="str">
        <f>"566"</f>
        <v>566</v>
      </c>
      <c r="G5668">
        <v>1</v>
      </c>
      <c r="H5668">
        <v>2023</v>
      </c>
      <c r="I5668" t="s">
        <v>5783</v>
      </c>
    </row>
    <row r="5669" spans="1:9" x14ac:dyDescent="0.3">
      <c r="A5669" t="s">
        <v>10136</v>
      </c>
      <c r="B5669" t="s">
        <v>28</v>
      </c>
      <c r="C5669">
        <v>7648876604</v>
      </c>
      <c r="D5669" s="2">
        <v>1</v>
      </c>
      <c r="E5669" t="str">
        <f>"4574674200801991"</f>
        <v>4574674200801991</v>
      </c>
      <c r="F5669" t="str">
        <f>"569"</f>
        <v>569</v>
      </c>
      <c r="G5669">
        <v>1</v>
      </c>
      <c r="H5669">
        <v>2023</v>
      </c>
      <c r="I5669" t="s">
        <v>5784</v>
      </c>
    </row>
    <row r="5670" spans="1:9" x14ac:dyDescent="0.3">
      <c r="A5670" t="s">
        <v>10136</v>
      </c>
      <c r="B5670" t="s">
        <v>28</v>
      </c>
      <c r="C5670">
        <v>7648876604</v>
      </c>
      <c r="D5670" s="2">
        <v>1</v>
      </c>
      <c r="E5670" t="str">
        <f>"4574674200802205"</f>
        <v>4574674200802205</v>
      </c>
      <c r="F5670" t="str">
        <f>"923"</f>
        <v>923</v>
      </c>
      <c r="G5670">
        <v>1</v>
      </c>
      <c r="H5670">
        <v>2023</v>
      </c>
      <c r="I5670" t="s">
        <v>5785</v>
      </c>
    </row>
    <row r="5671" spans="1:9" x14ac:dyDescent="0.3">
      <c r="A5671" t="s">
        <v>10136</v>
      </c>
      <c r="B5671" t="s">
        <v>28</v>
      </c>
      <c r="C5671">
        <v>7648876604</v>
      </c>
      <c r="D5671" s="2">
        <v>1</v>
      </c>
      <c r="E5671" t="str">
        <f>"4574674200801793"</f>
        <v>4574674200801793</v>
      </c>
      <c r="F5671" t="str">
        <f>"728"</f>
        <v>728</v>
      </c>
      <c r="G5671">
        <v>1</v>
      </c>
      <c r="H5671">
        <v>2023</v>
      </c>
      <c r="I5671" t="s">
        <v>5786</v>
      </c>
    </row>
    <row r="5672" spans="1:9" x14ac:dyDescent="0.3">
      <c r="A5672" t="s">
        <v>10136</v>
      </c>
      <c r="B5672" t="s">
        <v>28</v>
      </c>
      <c r="C5672">
        <v>7648876604</v>
      </c>
      <c r="D5672" s="2">
        <v>1</v>
      </c>
      <c r="E5672" t="str">
        <f>"4574674200802239"</f>
        <v>4574674200802239</v>
      </c>
      <c r="F5672" t="str">
        <f>"618"</f>
        <v>618</v>
      </c>
      <c r="G5672">
        <v>1</v>
      </c>
      <c r="H5672">
        <v>2023</v>
      </c>
      <c r="I5672" t="s">
        <v>5787</v>
      </c>
    </row>
    <row r="5673" spans="1:9" x14ac:dyDescent="0.3">
      <c r="A5673" t="s">
        <v>10136</v>
      </c>
      <c r="B5673" t="s">
        <v>28</v>
      </c>
      <c r="C5673">
        <v>7648876604</v>
      </c>
      <c r="D5673" s="2">
        <v>1</v>
      </c>
      <c r="E5673" t="str">
        <f>"4574674200802247"</f>
        <v>4574674200802247</v>
      </c>
      <c r="F5673" t="str">
        <f>"779"</f>
        <v>779</v>
      </c>
      <c r="G5673">
        <v>1</v>
      </c>
      <c r="H5673">
        <v>2023</v>
      </c>
      <c r="I5673" t="s">
        <v>5788</v>
      </c>
    </row>
    <row r="5674" spans="1:9" x14ac:dyDescent="0.3">
      <c r="A5674" t="s">
        <v>10136</v>
      </c>
      <c r="B5674" t="s">
        <v>28</v>
      </c>
      <c r="C5674">
        <v>7648876604</v>
      </c>
      <c r="D5674" s="2">
        <v>1</v>
      </c>
      <c r="E5674" t="str">
        <f>"4574674200802270"</f>
        <v>4574674200802270</v>
      </c>
      <c r="F5674" t="str">
        <f>"892"</f>
        <v>892</v>
      </c>
      <c r="G5674">
        <v>1</v>
      </c>
      <c r="H5674">
        <v>2023</v>
      </c>
      <c r="I5674" t="s">
        <v>5789</v>
      </c>
    </row>
    <row r="5675" spans="1:9" x14ac:dyDescent="0.3">
      <c r="A5675" t="s">
        <v>10136</v>
      </c>
      <c r="B5675" t="s">
        <v>28</v>
      </c>
      <c r="C5675">
        <v>7648876604</v>
      </c>
      <c r="D5675" s="2">
        <v>1</v>
      </c>
      <c r="E5675" t="str">
        <f>"4574674200802288"</f>
        <v>4574674200802288</v>
      </c>
      <c r="F5675" t="str">
        <f>"182"</f>
        <v>182</v>
      </c>
      <c r="G5675">
        <v>1</v>
      </c>
      <c r="H5675">
        <v>2023</v>
      </c>
      <c r="I5675" t="s">
        <v>5790</v>
      </c>
    </row>
    <row r="5676" spans="1:9" x14ac:dyDescent="0.3">
      <c r="A5676" t="s">
        <v>10136</v>
      </c>
      <c r="B5676" t="s">
        <v>28</v>
      </c>
      <c r="C5676">
        <v>7648876604</v>
      </c>
      <c r="D5676" s="2">
        <v>1</v>
      </c>
      <c r="E5676" t="str">
        <f>"4574674200802312"</f>
        <v>4574674200802312</v>
      </c>
      <c r="F5676" t="str">
        <f>"120"</f>
        <v>120</v>
      </c>
      <c r="G5676">
        <v>1</v>
      </c>
      <c r="H5676">
        <v>2023</v>
      </c>
      <c r="I5676" t="s">
        <v>5791</v>
      </c>
    </row>
    <row r="5677" spans="1:9" x14ac:dyDescent="0.3">
      <c r="A5677" t="s">
        <v>10136</v>
      </c>
      <c r="B5677" t="s">
        <v>28</v>
      </c>
      <c r="C5677">
        <v>7648876604</v>
      </c>
      <c r="D5677" s="2">
        <v>1</v>
      </c>
      <c r="E5677" t="str">
        <f>"4574674200802320"</f>
        <v>4574674200802320</v>
      </c>
      <c r="F5677" t="str">
        <f>"932"</f>
        <v>932</v>
      </c>
      <c r="G5677">
        <v>1</v>
      </c>
      <c r="H5677">
        <v>2023</v>
      </c>
      <c r="I5677" t="s">
        <v>5792</v>
      </c>
    </row>
    <row r="5678" spans="1:9" x14ac:dyDescent="0.3">
      <c r="A5678" t="s">
        <v>10137</v>
      </c>
      <c r="B5678" t="s">
        <v>29</v>
      </c>
      <c r="C5678">
        <v>7648876604</v>
      </c>
      <c r="D5678" s="2">
        <v>1</v>
      </c>
      <c r="E5678" t="str">
        <f>"4574674200802171"</f>
        <v>4574674200802171</v>
      </c>
      <c r="F5678" t="str">
        <f>"222"</f>
        <v>222</v>
      </c>
      <c r="G5678">
        <v>1</v>
      </c>
      <c r="H5678">
        <v>2023</v>
      </c>
      <c r="I5678" t="s">
        <v>5793</v>
      </c>
    </row>
    <row r="5679" spans="1:9" x14ac:dyDescent="0.3">
      <c r="A5679" t="s">
        <v>10137</v>
      </c>
      <c r="B5679" t="s">
        <v>29</v>
      </c>
      <c r="C5679">
        <v>7648876604</v>
      </c>
      <c r="D5679" s="2">
        <v>1</v>
      </c>
      <c r="E5679" t="str">
        <f>"4574674200802361"</f>
        <v>4574674200802361</v>
      </c>
      <c r="F5679" t="str">
        <f>"762"</f>
        <v>762</v>
      </c>
      <c r="G5679">
        <v>1</v>
      </c>
      <c r="H5679">
        <v>2023</v>
      </c>
      <c r="I5679" t="s">
        <v>5794</v>
      </c>
    </row>
    <row r="5680" spans="1:9" x14ac:dyDescent="0.3">
      <c r="A5680" t="s">
        <v>10137</v>
      </c>
      <c r="B5680" t="s">
        <v>29</v>
      </c>
      <c r="C5680">
        <v>7648876604</v>
      </c>
      <c r="D5680" s="2">
        <v>1</v>
      </c>
      <c r="E5680" t="str">
        <f>"4574674200802536"</f>
        <v>4574674200802536</v>
      </c>
      <c r="F5680" t="str">
        <f>"266"</f>
        <v>266</v>
      </c>
      <c r="G5680">
        <v>1</v>
      </c>
      <c r="H5680">
        <v>2023</v>
      </c>
      <c r="I5680" t="s">
        <v>5795</v>
      </c>
    </row>
    <row r="5681" spans="1:9" x14ac:dyDescent="0.3">
      <c r="A5681" t="s">
        <v>10137</v>
      </c>
      <c r="B5681" t="s">
        <v>29</v>
      </c>
      <c r="C5681">
        <v>7648876604</v>
      </c>
      <c r="D5681" s="2">
        <v>1</v>
      </c>
      <c r="E5681" t="str">
        <f>"4574674200802379"</f>
        <v>4574674200802379</v>
      </c>
      <c r="F5681" t="str">
        <f>"663"</f>
        <v>663</v>
      </c>
      <c r="G5681">
        <v>1</v>
      </c>
      <c r="H5681">
        <v>2023</v>
      </c>
      <c r="I5681" t="s">
        <v>5796</v>
      </c>
    </row>
    <row r="5682" spans="1:9" x14ac:dyDescent="0.3">
      <c r="A5682" t="s">
        <v>10137</v>
      </c>
      <c r="B5682" t="s">
        <v>29</v>
      </c>
      <c r="C5682">
        <v>7648876604</v>
      </c>
      <c r="D5682" s="2">
        <v>1</v>
      </c>
      <c r="E5682" t="str">
        <f>"4574674200802387"</f>
        <v>4574674200802387</v>
      </c>
      <c r="F5682" t="str">
        <f>"801"</f>
        <v>801</v>
      </c>
      <c r="G5682">
        <v>1</v>
      </c>
      <c r="H5682">
        <v>2023</v>
      </c>
      <c r="I5682" t="s">
        <v>5797</v>
      </c>
    </row>
    <row r="5683" spans="1:9" x14ac:dyDescent="0.3">
      <c r="A5683" t="s">
        <v>10137</v>
      </c>
      <c r="B5683" t="s">
        <v>29</v>
      </c>
      <c r="C5683">
        <v>7648876604</v>
      </c>
      <c r="D5683" s="2">
        <v>1</v>
      </c>
      <c r="E5683" t="str">
        <f>"4574674200802627"</f>
        <v>4574674200802627</v>
      </c>
      <c r="F5683" t="str">
        <f>"744"</f>
        <v>744</v>
      </c>
      <c r="G5683">
        <v>1</v>
      </c>
      <c r="H5683">
        <v>2023</v>
      </c>
      <c r="I5683" t="s">
        <v>5798</v>
      </c>
    </row>
    <row r="5684" spans="1:9" x14ac:dyDescent="0.3">
      <c r="A5684" t="s">
        <v>10137</v>
      </c>
      <c r="B5684" t="s">
        <v>29</v>
      </c>
      <c r="C5684">
        <v>7648876604</v>
      </c>
      <c r="D5684" s="2">
        <v>1</v>
      </c>
      <c r="E5684" t="str">
        <f>"4574674200802635"</f>
        <v>4574674200802635</v>
      </c>
      <c r="F5684" t="str">
        <f>"082"</f>
        <v>082</v>
      </c>
      <c r="G5684">
        <v>1</v>
      </c>
      <c r="H5684">
        <v>2023</v>
      </c>
      <c r="I5684" t="s">
        <v>5799</v>
      </c>
    </row>
    <row r="5685" spans="1:9" x14ac:dyDescent="0.3">
      <c r="A5685" t="s">
        <v>10137</v>
      </c>
      <c r="B5685" t="s">
        <v>29</v>
      </c>
      <c r="C5685">
        <v>7648876604</v>
      </c>
      <c r="D5685" s="2">
        <v>1</v>
      </c>
      <c r="E5685" t="str">
        <f>"4574674200802643"</f>
        <v>4574674200802643</v>
      </c>
      <c r="F5685" t="str">
        <f>"783"</f>
        <v>783</v>
      </c>
      <c r="G5685">
        <v>1</v>
      </c>
      <c r="H5685">
        <v>2023</v>
      </c>
      <c r="I5685" t="s">
        <v>5800</v>
      </c>
    </row>
    <row r="5686" spans="1:9" x14ac:dyDescent="0.3">
      <c r="A5686" t="s">
        <v>10137</v>
      </c>
      <c r="B5686" t="s">
        <v>29</v>
      </c>
      <c r="C5686">
        <v>7648876604</v>
      </c>
      <c r="D5686" s="2">
        <v>1</v>
      </c>
      <c r="E5686" t="str">
        <f>"4574674200802916"</f>
        <v>4574674200802916</v>
      </c>
      <c r="F5686" t="str">
        <f>"937"</f>
        <v>937</v>
      </c>
      <c r="G5686">
        <v>1</v>
      </c>
      <c r="H5686">
        <v>2023</v>
      </c>
      <c r="I5686" t="s">
        <v>5801</v>
      </c>
    </row>
    <row r="5687" spans="1:9" x14ac:dyDescent="0.3">
      <c r="A5687" t="s">
        <v>10137</v>
      </c>
      <c r="B5687" t="s">
        <v>29</v>
      </c>
      <c r="C5687">
        <v>7648876604</v>
      </c>
      <c r="D5687" s="2">
        <v>1</v>
      </c>
      <c r="E5687" t="str">
        <f>"4574674200802676"</f>
        <v>4574674200802676</v>
      </c>
      <c r="F5687" t="str">
        <f>"879"</f>
        <v>879</v>
      </c>
      <c r="G5687">
        <v>1</v>
      </c>
      <c r="H5687">
        <v>2023</v>
      </c>
      <c r="I5687" t="s">
        <v>5802</v>
      </c>
    </row>
    <row r="5688" spans="1:9" x14ac:dyDescent="0.3">
      <c r="A5688" t="s">
        <v>10138</v>
      </c>
      <c r="B5688" t="s">
        <v>30</v>
      </c>
      <c r="C5688">
        <v>7648876604</v>
      </c>
      <c r="D5688" s="2">
        <v>1</v>
      </c>
      <c r="E5688" t="str">
        <f>"4574674200802700"</f>
        <v>4574674200802700</v>
      </c>
      <c r="F5688" t="str">
        <f>"927"</f>
        <v>927</v>
      </c>
      <c r="G5688">
        <v>1</v>
      </c>
      <c r="H5688">
        <v>2023</v>
      </c>
      <c r="I5688" t="s">
        <v>5803</v>
      </c>
    </row>
    <row r="5689" spans="1:9" x14ac:dyDescent="0.3">
      <c r="A5689" t="s">
        <v>10138</v>
      </c>
      <c r="B5689" t="s">
        <v>30</v>
      </c>
      <c r="C5689">
        <v>7648876604</v>
      </c>
      <c r="D5689" s="2">
        <v>1</v>
      </c>
      <c r="E5689" t="str">
        <f>"4574674200803054"</f>
        <v>4574674200803054</v>
      </c>
      <c r="F5689" t="str">
        <f>"473"</f>
        <v>473</v>
      </c>
      <c r="G5689">
        <v>1</v>
      </c>
      <c r="H5689">
        <v>2023</v>
      </c>
      <c r="I5689" t="s">
        <v>5804</v>
      </c>
    </row>
    <row r="5690" spans="1:9" x14ac:dyDescent="0.3">
      <c r="A5690" t="s">
        <v>10138</v>
      </c>
      <c r="B5690" t="s">
        <v>30</v>
      </c>
      <c r="C5690">
        <v>7648876604</v>
      </c>
      <c r="D5690" s="2">
        <v>1</v>
      </c>
      <c r="E5690" t="str">
        <f>"4574674200802718"</f>
        <v>4574674200802718</v>
      </c>
      <c r="F5690" t="str">
        <f>"010"</f>
        <v>010</v>
      </c>
      <c r="G5690">
        <v>1</v>
      </c>
      <c r="H5690">
        <v>2023</v>
      </c>
      <c r="I5690" t="s">
        <v>5805</v>
      </c>
    </row>
    <row r="5691" spans="1:9" x14ac:dyDescent="0.3">
      <c r="A5691" t="s">
        <v>10138</v>
      </c>
      <c r="B5691" t="s">
        <v>30</v>
      </c>
      <c r="C5691">
        <v>7648876604</v>
      </c>
      <c r="D5691" s="2">
        <v>1</v>
      </c>
      <c r="E5691" t="str">
        <f>"4574674200802726"</f>
        <v>4574674200802726</v>
      </c>
      <c r="F5691" t="str">
        <f>"680"</f>
        <v>680</v>
      </c>
      <c r="G5691">
        <v>1</v>
      </c>
      <c r="H5691">
        <v>2023</v>
      </c>
      <c r="I5691" t="s">
        <v>5806</v>
      </c>
    </row>
    <row r="5692" spans="1:9" x14ac:dyDescent="0.3">
      <c r="A5692" t="s">
        <v>10138</v>
      </c>
      <c r="B5692" t="s">
        <v>30</v>
      </c>
      <c r="C5692">
        <v>7648876604</v>
      </c>
      <c r="D5692" s="2">
        <v>1</v>
      </c>
      <c r="E5692" t="str">
        <f>"4574674200802742"</f>
        <v>4574674200802742</v>
      </c>
      <c r="F5692" t="str">
        <f>"064"</f>
        <v>064</v>
      </c>
      <c r="G5692">
        <v>1</v>
      </c>
      <c r="H5692">
        <v>2023</v>
      </c>
      <c r="I5692" t="s">
        <v>5807</v>
      </c>
    </row>
    <row r="5693" spans="1:9" x14ac:dyDescent="0.3">
      <c r="A5693" t="s">
        <v>10138</v>
      </c>
      <c r="B5693" t="s">
        <v>30</v>
      </c>
      <c r="C5693">
        <v>7648876604</v>
      </c>
      <c r="D5693" s="2">
        <v>1</v>
      </c>
      <c r="E5693" t="str">
        <f>"4574674200802767"</f>
        <v>4574674200802767</v>
      </c>
      <c r="F5693" t="str">
        <f>"989"</f>
        <v>989</v>
      </c>
      <c r="G5693">
        <v>1</v>
      </c>
      <c r="H5693">
        <v>2023</v>
      </c>
      <c r="I5693" t="s">
        <v>5808</v>
      </c>
    </row>
    <row r="5694" spans="1:9" x14ac:dyDescent="0.3">
      <c r="A5694" t="s">
        <v>10138</v>
      </c>
      <c r="B5694" t="s">
        <v>30</v>
      </c>
      <c r="C5694">
        <v>7648876604</v>
      </c>
      <c r="D5694" s="2">
        <v>1</v>
      </c>
      <c r="E5694" t="str">
        <f>"4574674200802783"</f>
        <v>4574674200802783</v>
      </c>
      <c r="F5694" t="str">
        <f>"665"</f>
        <v>665</v>
      </c>
      <c r="G5694">
        <v>1</v>
      </c>
      <c r="H5694">
        <v>2023</v>
      </c>
      <c r="I5694" t="s">
        <v>5809</v>
      </c>
    </row>
    <row r="5695" spans="1:9" x14ac:dyDescent="0.3">
      <c r="A5695" t="s">
        <v>10138</v>
      </c>
      <c r="B5695" t="s">
        <v>30</v>
      </c>
      <c r="C5695">
        <v>7648876604</v>
      </c>
      <c r="D5695" s="2">
        <v>1</v>
      </c>
      <c r="E5695" t="str">
        <f>"4574674200803211"</f>
        <v>4574674200803211</v>
      </c>
      <c r="F5695" t="str">
        <f>"087"</f>
        <v>087</v>
      </c>
      <c r="G5695">
        <v>1</v>
      </c>
      <c r="H5695">
        <v>2023</v>
      </c>
      <c r="I5695" t="s">
        <v>5810</v>
      </c>
    </row>
    <row r="5696" spans="1:9" x14ac:dyDescent="0.3">
      <c r="A5696" t="s">
        <v>10138</v>
      </c>
      <c r="B5696" t="s">
        <v>30</v>
      </c>
      <c r="C5696">
        <v>7648876604</v>
      </c>
      <c r="D5696" s="2">
        <v>1</v>
      </c>
      <c r="E5696" t="str">
        <f>"4574674200803229"</f>
        <v>4574674200803229</v>
      </c>
      <c r="F5696" t="str">
        <f>"526"</f>
        <v>526</v>
      </c>
      <c r="G5696">
        <v>1</v>
      </c>
      <c r="H5696">
        <v>2023</v>
      </c>
      <c r="I5696" t="s">
        <v>5811</v>
      </c>
    </row>
    <row r="5697" spans="1:9" x14ac:dyDescent="0.3">
      <c r="A5697" t="s">
        <v>10138</v>
      </c>
      <c r="B5697" t="s">
        <v>30</v>
      </c>
      <c r="C5697">
        <v>7648876604</v>
      </c>
      <c r="D5697" s="2">
        <v>1</v>
      </c>
      <c r="E5697" t="str">
        <f>"4574674200803245"</f>
        <v>4574674200803245</v>
      </c>
      <c r="F5697" t="str">
        <f>"555"</f>
        <v>555</v>
      </c>
      <c r="G5697">
        <v>1</v>
      </c>
      <c r="H5697">
        <v>2023</v>
      </c>
      <c r="I5697" t="s">
        <v>5812</v>
      </c>
    </row>
    <row r="5698" spans="1:9" x14ac:dyDescent="0.3">
      <c r="A5698" t="s">
        <v>10139</v>
      </c>
      <c r="B5698" t="s">
        <v>31</v>
      </c>
      <c r="C5698">
        <v>7648876604</v>
      </c>
      <c r="D5698" s="2">
        <v>1</v>
      </c>
      <c r="E5698" t="str">
        <f>"4574674200803518"</f>
        <v>4574674200803518</v>
      </c>
      <c r="F5698" t="str">
        <f>"829"</f>
        <v>829</v>
      </c>
      <c r="G5698">
        <v>1</v>
      </c>
      <c r="H5698">
        <v>2023</v>
      </c>
      <c r="I5698" t="s">
        <v>5813</v>
      </c>
    </row>
    <row r="5699" spans="1:9" x14ac:dyDescent="0.3">
      <c r="A5699" t="s">
        <v>10139</v>
      </c>
      <c r="B5699" t="s">
        <v>31</v>
      </c>
      <c r="C5699">
        <v>7648876604</v>
      </c>
      <c r="D5699" s="2">
        <v>1</v>
      </c>
      <c r="E5699" t="str">
        <f>"4574674200803260"</f>
        <v>4574674200803260</v>
      </c>
      <c r="F5699" t="str">
        <f>"878"</f>
        <v>878</v>
      </c>
      <c r="G5699">
        <v>1</v>
      </c>
      <c r="H5699">
        <v>2023</v>
      </c>
      <c r="I5699" t="s">
        <v>5814</v>
      </c>
    </row>
    <row r="5700" spans="1:9" x14ac:dyDescent="0.3">
      <c r="A5700" t="s">
        <v>10139</v>
      </c>
      <c r="B5700" t="s">
        <v>31</v>
      </c>
      <c r="C5700">
        <v>7648876604</v>
      </c>
      <c r="D5700" s="2">
        <v>1</v>
      </c>
      <c r="E5700" t="str">
        <f>"4574674200803310"</f>
        <v>4574674200803310</v>
      </c>
      <c r="F5700" t="str">
        <f>"484"</f>
        <v>484</v>
      </c>
      <c r="G5700">
        <v>1</v>
      </c>
      <c r="H5700">
        <v>2023</v>
      </c>
      <c r="I5700" t="s">
        <v>5815</v>
      </c>
    </row>
    <row r="5701" spans="1:9" x14ac:dyDescent="0.3">
      <c r="A5701" t="s">
        <v>10139</v>
      </c>
      <c r="B5701" t="s">
        <v>31</v>
      </c>
      <c r="C5701">
        <v>7648876604</v>
      </c>
      <c r="D5701" s="2">
        <v>1</v>
      </c>
      <c r="E5701" t="str">
        <f>"4574674200803328"</f>
        <v>4574674200803328</v>
      </c>
      <c r="F5701" t="str">
        <f>"152"</f>
        <v>152</v>
      </c>
      <c r="G5701">
        <v>1</v>
      </c>
      <c r="H5701">
        <v>2023</v>
      </c>
      <c r="I5701" t="s">
        <v>5816</v>
      </c>
    </row>
    <row r="5702" spans="1:9" x14ac:dyDescent="0.3">
      <c r="A5702" t="s">
        <v>10139</v>
      </c>
      <c r="B5702" t="s">
        <v>31</v>
      </c>
      <c r="C5702">
        <v>7648876604</v>
      </c>
      <c r="D5702" s="2">
        <v>1</v>
      </c>
      <c r="E5702" t="str">
        <f>"4574674200803336"</f>
        <v>4574674200803336</v>
      </c>
      <c r="F5702" t="str">
        <f>"644"</f>
        <v>644</v>
      </c>
      <c r="G5702">
        <v>1</v>
      </c>
      <c r="H5702">
        <v>2023</v>
      </c>
      <c r="I5702" t="s">
        <v>5817</v>
      </c>
    </row>
    <row r="5703" spans="1:9" x14ac:dyDescent="0.3">
      <c r="A5703" t="s">
        <v>10139</v>
      </c>
      <c r="B5703" t="s">
        <v>31</v>
      </c>
      <c r="C5703">
        <v>7648876604</v>
      </c>
      <c r="D5703" s="2">
        <v>1</v>
      </c>
      <c r="E5703" t="str">
        <f>"4574674200803690"</f>
        <v>4574674200803690</v>
      </c>
      <c r="F5703" t="str">
        <f>"232"</f>
        <v>232</v>
      </c>
      <c r="G5703">
        <v>1</v>
      </c>
      <c r="H5703">
        <v>2023</v>
      </c>
      <c r="I5703" t="s">
        <v>5818</v>
      </c>
    </row>
    <row r="5704" spans="1:9" x14ac:dyDescent="0.3">
      <c r="A5704" t="s">
        <v>10139</v>
      </c>
      <c r="B5704" t="s">
        <v>31</v>
      </c>
      <c r="C5704">
        <v>7648876604</v>
      </c>
      <c r="D5704" s="2">
        <v>1</v>
      </c>
      <c r="E5704" t="str">
        <f>"4574674200803344"</f>
        <v>4574674200803344</v>
      </c>
      <c r="F5704" t="str">
        <f>"574"</f>
        <v>574</v>
      </c>
      <c r="G5704">
        <v>1</v>
      </c>
      <c r="H5704">
        <v>2023</v>
      </c>
      <c r="I5704" t="s">
        <v>5819</v>
      </c>
    </row>
    <row r="5705" spans="1:9" x14ac:dyDescent="0.3">
      <c r="A5705" t="s">
        <v>10139</v>
      </c>
      <c r="B5705" t="s">
        <v>31</v>
      </c>
      <c r="C5705">
        <v>7648876604</v>
      </c>
      <c r="D5705" s="2">
        <v>1</v>
      </c>
      <c r="E5705" t="str">
        <f>"4574674200803351"</f>
        <v>4574674200803351</v>
      </c>
      <c r="F5705" t="str">
        <f>"599"</f>
        <v>599</v>
      </c>
      <c r="G5705">
        <v>1</v>
      </c>
      <c r="H5705">
        <v>2023</v>
      </c>
      <c r="I5705" t="s">
        <v>5820</v>
      </c>
    </row>
    <row r="5706" spans="1:9" x14ac:dyDescent="0.3">
      <c r="A5706" t="s">
        <v>10139</v>
      </c>
      <c r="B5706" t="s">
        <v>31</v>
      </c>
      <c r="C5706">
        <v>7648876604</v>
      </c>
      <c r="D5706" s="2">
        <v>1</v>
      </c>
      <c r="E5706" t="str">
        <f>"4574674200803393"</f>
        <v>4574674200803393</v>
      </c>
      <c r="F5706" t="str">
        <f>"514"</f>
        <v>514</v>
      </c>
      <c r="G5706">
        <v>1</v>
      </c>
      <c r="H5706">
        <v>2023</v>
      </c>
      <c r="I5706" t="s">
        <v>5821</v>
      </c>
    </row>
    <row r="5707" spans="1:9" x14ac:dyDescent="0.3">
      <c r="A5707" t="s">
        <v>10139</v>
      </c>
      <c r="B5707" t="s">
        <v>31</v>
      </c>
      <c r="C5707">
        <v>7648876604</v>
      </c>
      <c r="D5707" s="2">
        <v>1</v>
      </c>
      <c r="E5707" t="str">
        <f>"4574674200804045"</f>
        <v>4574674200804045</v>
      </c>
      <c r="F5707" t="str">
        <f>"491"</f>
        <v>491</v>
      </c>
      <c r="G5707">
        <v>1</v>
      </c>
      <c r="H5707">
        <v>2023</v>
      </c>
      <c r="I5707" t="s">
        <v>5822</v>
      </c>
    </row>
    <row r="5708" spans="1:9" x14ac:dyDescent="0.3">
      <c r="A5708" t="s">
        <v>10138</v>
      </c>
      <c r="B5708" t="s">
        <v>30</v>
      </c>
      <c r="C5708">
        <v>7648876604</v>
      </c>
      <c r="D5708" s="2">
        <v>1</v>
      </c>
      <c r="E5708" t="str">
        <f>"4574674200803831"</f>
        <v>4574674200803831</v>
      </c>
      <c r="F5708" t="str">
        <f>"703"</f>
        <v>703</v>
      </c>
      <c r="G5708">
        <v>1</v>
      </c>
      <c r="H5708">
        <v>2023</v>
      </c>
      <c r="I5708" t="s">
        <v>5823</v>
      </c>
    </row>
    <row r="5709" spans="1:9" x14ac:dyDescent="0.3">
      <c r="A5709" t="s">
        <v>10138</v>
      </c>
      <c r="B5709" t="s">
        <v>30</v>
      </c>
      <c r="C5709">
        <v>7648876604</v>
      </c>
      <c r="D5709" s="2">
        <v>1</v>
      </c>
      <c r="E5709" t="str">
        <f>"4574674200803849"</f>
        <v>4574674200803849</v>
      </c>
      <c r="F5709" t="str">
        <f>"685"</f>
        <v>685</v>
      </c>
      <c r="G5709">
        <v>1</v>
      </c>
      <c r="H5709">
        <v>2023</v>
      </c>
      <c r="I5709" t="s">
        <v>5824</v>
      </c>
    </row>
    <row r="5710" spans="1:9" x14ac:dyDescent="0.3">
      <c r="A5710" t="s">
        <v>10138</v>
      </c>
      <c r="B5710" t="s">
        <v>30</v>
      </c>
      <c r="C5710">
        <v>7648876604</v>
      </c>
      <c r="D5710" s="2">
        <v>1</v>
      </c>
      <c r="E5710" t="str">
        <f>"4574674200803856"</f>
        <v>4574674200803856</v>
      </c>
      <c r="F5710" t="str">
        <f>"089"</f>
        <v>089</v>
      </c>
      <c r="G5710">
        <v>1</v>
      </c>
      <c r="H5710">
        <v>2023</v>
      </c>
      <c r="I5710" t="s">
        <v>5825</v>
      </c>
    </row>
    <row r="5711" spans="1:9" x14ac:dyDescent="0.3">
      <c r="A5711" t="s">
        <v>10138</v>
      </c>
      <c r="B5711" t="s">
        <v>30</v>
      </c>
      <c r="C5711">
        <v>7648876604</v>
      </c>
      <c r="D5711" s="2">
        <v>1</v>
      </c>
      <c r="E5711" t="str">
        <f>"4574674200803872"</f>
        <v>4574674200803872</v>
      </c>
      <c r="F5711" t="str">
        <f>"054"</f>
        <v>054</v>
      </c>
      <c r="G5711">
        <v>1</v>
      </c>
      <c r="H5711">
        <v>2023</v>
      </c>
      <c r="I5711" t="s">
        <v>5826</v>
      </c>
    </row>
    <row r="5712" spans="1:9" x14ac:dyDescent="0.3">
      <c r="A5712" t="s">
        <v>10138</v>
      </c>
      <c r="B5712" t="s">
        <v>30</v>
      </c>
      <c r="C5712">
        <v>7648876604</v>
      </c>
      <c r="D5712" s="2">
        <v>1</v>
      </c>
      <c r="E5712" t="str">
        <f>"4574674200803898"</f>
        <v>4574674200803898</v>
      </c>
      <c r="F5712" t="str">
        <f>"984"</f>
        <v>984</v>
      </c>
      <c r="G5712">
        <v>1</v>
      </c>
      <c r="H5712">
        <v>2023</v>
      </c>
      <c r="I5712" t="s">
        <v>5827</v>
      </c>
    </row>
    <row r="5713" spans="1:9" x14ac:dyDescent="0.3">
      <c r="A5713" t="s">
        <v>10138</v>
      </c>
      <c r="B5713" t="s">
        <v>30</v>
      </c>
      <c r="C5713">
        <v>7648876604</v>
      </c>
      <c r="D5713" s="2">
        <v>1</v>
      </c>
      <c r="E5713" t="str">
        <f>"4574674200804219"</f>
        <v>4574674200804219</v>
      </c>
      <c r="F5713" t="str">
        <f>"728"</f>
        <v>728</v>
      </c>
      <c r="G5713">
        <v>1</v>
      </c>
      <c r="H5713">
        <v>2023</v>
      </c>
      <c r="I5713" t="s">
        <v>5828</v>
      </c>
    </row>
    <row r="5714" spans="1:9" x14ac:dyDescent="0.3">
      <c r="A5714" t="s">
        <v>10138</v>
      </c>
      <c r="B5714" t="s">
        <v>30</v>
      </c>
      <c r="C5714">
        <v>7648876604</v>
      </c>
      <c r="D5714" s="2">
        <v>1</v>
      </c>
      <c r="E5714" t="str">
        <f>"4574674200803914"</f>
        <v>4574674200803914</v>
      </c>
      <c r="F5714" t="str">
        <f>"927"</f>
        <v>927</v>
      </c>
      <c r="G5714">
        <v>1</v>
      </c>
      <c r="H5714">
        <v>2023</v>
      </c>
      <c r="I5714" t="s">
        <v>5829</v>
      </c>
    </row>
    <row r="5715" spans="1:9" x14ac:dyDescent="0.3">
      <c r="A5715" t="s">
        <v>10138</v>
      </c>
      <c r="B5715" t="s">
        <v>30</v>
      </c>
      <c r="C5715">
        <v>7648876604</v>
      </c>
      <c r="D5715" s="2">
        <v>1</v>
      </c>
      <c r="E5715" t="str">
        <f>"4574674200803948"</f>
        <v>4574674200803948</v>
      </c>
      <c r="F5715" t="str">
        <f>"519"</f>
        <v>519</v>
      </c>
      <c r="G5715">
        <v>1</v>
      </c>
      <c r="H5715">
        <v>2023</v>
      </c>
      <c r="I5715" t="s">
        <v>5830</v>
      </c>
    </row>
    <row r="5716" spans="1:9" x14ac:dyDescent="0.3">
      <c r="A5716" t="s">
        <v>10138</v>
      </c>
      <c r="B5716" t="s">
        <v>30</v>
      </c>
      <c r="C5716">
        <v>7648876604</v>
      </c>
      <c r="D5716" s="2">
        <v>1</v>
      </c>
      <c r="E5716" t="str">
        <f>"4574674200803963"</f>
        <v>4574674200803963</v>
      </c>
      <c r="F5716" t="str">
        <f>"545"</f>
        <v>545</v>
      </c>
      <c r="G5716">
        <v>1</v>
      </c>
      <c r="H5716">
        <v>2023</v>
      </c>
      <c r="I5716" t="s">
        <v>5831</v>
      </c>
    </row>
    <row r="5717" spans="1:9" x14ac:dyDescent="0.3">
      <c r="A5717" t="s">
        <v>10138</v>
      </c>
      <c r="B5717" t="s">
        <v>30</v>
      </c>
      <c r="C5717">
        <v>7648876604</v>
      </c>
      <c r="D5717" s="2">
        <v>1</v>
      </c>
      <c r="E5717" t="str">
        <f>"4574674200804326"</f>
        <v>4574674200804326</v>
      </c>
      <c r="F5717" t="str">
        <f>"746"</f>
        <v>746</v>
      </c>
      <c r="G5717">
        <v>1</v>
      </c>
      <c r="H5717">
        <v>2023</v>
      </c>
      <c r="I5717" t="s">
        <v>5832</v>
      </c>
    </row>
    <row r="5718" spans="1:9" x14ac:dyDescent="0.3">
      <c r="A5718" t="s">
        <v>10140</v>
      </c>
      <c r="B5718" t="s">
        <v>32</v>
      </c>
      <c r="C5718">
        <v>7648876604</v>
      </c>
      <c r="D5718" s="2">
        <v>1</v>
      </c>
      <c r="E5718" t="str">
        <f>"4574674200803989"</f>
        <v>4574674200803989</v>
      </c>
      <c r="F5718" t="str">
        <f>"521"</f>
        <v>521</v>
      </c>
      <c r="G5718">
        <v>1</v>
      </c>
      <c r="H5718">
        <v>2023</v>
      </c>
      <c r="I5718" t="s">
        <v>5833</v>
      </c>
    </row>
    <row r="5719" spans="1:9" x14ac:dyDescent="0.3">
      <c r="A5719" t="s">
        <v>10140</v>
      </c>
      <c r="B5719" t="s">
        <v>32</v>
      </c>
      <c r="C5719">
        <v>7648876604</v>
      </c>
      <c r="D5719" s="2">
        <v>1</v>
      </c>
      <c r="E5719" t="str">
        <f>"4574674200803997"</f>
        <v>4574674200803997</v>
      </c>
      <c r="F5719" t="str">
        <f>"585"</f>
        <v>585</v>
      </c>
      <c r="G5719">
        <v>1</v>
      </c>
      <c r="H5719">
        <v>2023</v>
      </c>
      <c r="I5719" t="s">
        <v>5834</v>
      </c>
    </row>
    <row r="5720" spans="1:9" x14ac:dyDescent="0.3">
      <c r="A5720" t="s">
        <v>10140</v>
      </c>
      <c r="B5720" t="s">
        <v>32</v>
      </c>
      <c r="C5720">
        <v>7648876604</v>
      </c>
      <c r="D5720" s="2">
        <v>1</v>
      </c>
      <c r="E5720" t="str">
        <f>"4574674200804417"</f>
        <v>4574674200804417</v>
      </c>
      <c r="F5720" t="str">
        <f>"476"</f>
        <v>476</v>
      </c>
      <c r="G5720">
        <v>1</v>
      </c>
      <c r="H5720">
        <v>2023</v>
      </c>
      <c r="I5720" t="s">
        <v>5835</v>
      </c>
    </row>
    <row r="5721" spans="1:9" x14ac:dyDescent="0.3">
      <c r="A5721" t="s">
        <v>10140</v>
      </c>
      <c r="B5721" t="s">
        <v>32</v>
      </c>
      <c r="C5721">
        <v>7648876604</v>
      </c>
      <c r="D5721" s="2">
        <v>1</v>
      </c>
      <c r="E5721" t="str">
        <f>"4574674200804441"</f>
        <v>4574674200804441</v>
      </c>
      <c r="F5721" t="str">
        <f>"943"</f>
        <v>943</v>
      </c>
      <c r="G5721">
        <v>1</v>
      </c>
      <c r="H5721">
        <v>2023</v>
      </c>
      <c r="I5721" t="s">
        <v>5836</v>
      </c>
    </row>
    <row r="5722" spans="1:9" x14ac:dyDescent="0.3">
      <c r="A5722" t="s">
        <v>10140</v>
      </c>
      <c r="B5722" t="s">
        <v>32</v>
      </c>
      <c r="C5722">
        <v>7648876604</v>
      </c>
      <c r="D5722" s="2">
        <v>1</v>
      </c>
      <c r="E5722" t="str">
        <f>"4574674200804458"</f>
        <v>4574674200804458</v>
      </c>
      <c r="F5722" t="str">
        <f>"513"</f>
        <v>513</v>
      </c>
      <c r="G5722">
        <v>1</v>
      </c>
      <c r="H5722">
        <v>2023</v>
      </c>
      <c r="I5722" t="s">
        <v>5837</v>
      </c>
    </row>
    <row r="5723" spans="1:9" x14ac:dyDescent="0.3">
      <c r="A5723" t="s">
        <v>10140</v>
      </c>
      <c r="B5723" t="s">
        <v>32</v>
      </c>
      <c r="C5723">
        <v>7648876604</v>
      </c>
      <c r="D5723" s="2">
        <v>1</v>
      </c>
      <c r="E5723" t="str">
        <f>"4574674200804714"</f>
        <v>4574674200804714</v>
      </c>
      <c r="F5723" t="str">
        <f>"193"</f>
        <v>193</v>
      </c>
      <c r="G5723">
        <v>1</v>
      </c>
      <c r="H5723">
        <v>2023</v>
      </c>
      <c r="I5723" t="s">
        <v>5838</v>
      </c>
    </row>
    <row r="5724" spans="1:9" x14ac:dyDescent="0.3">
      <c r="A5724" t="s">
        <v>10140</v>
      </c>
      <c r="B5724" t="s">
        <v>32</v>
      </c>
      <c r="C5724">
        <v>7648876604</v>
      </c>
      <c r="D5724" s="2">
        <v>1</v>
      </c>
      <c r="E5724" t="str">
        <f>"4574674200804474"</f>
        <v>4574674200804474</v>
      </c>
      <c r="F5724" t="str">
        <f>"909"</f>
        <v>909</v>
      </c>
      <c r="G5724">
        <v>1</v>
      </c>
      <c r="H5724">
        <v>2023</v>
      </c>
      <c r="I5724" t="s">
        <v>5839</v>
      </c>
    </row>
    <row r="5725" spans="1:9" x14ac:dyDescent="0.3">
      <c r="A5725" t="s">
        <v>10140</v>
      </c>
      <c r="B5725" t="s">
        <v>32</v>
      </c>
      <c r="C5725">
        <v>7648876604</v>
      </c>
      <c r="D5725" s="2">
        <v>1</v>
      </c>
      <c r="E5725" t="str">
        <f>"4574674200804490"</f>
        <v>4574674200804490</v>
      </c>
      <c r="F5725" t="str">
        <f>"796"</f>
        <v>796</v>
      </c>
      <c r="G5725">
        <v>1</v>
      </c>
      <c r="H5725">
        <v>2023</v>
      </c>
      <c r="I5725" t="s">
        <v>5840</v>
      </c>
    </row>
    <row r="5726" spans="1:9" x14ac:dyDescent="0.3">
      <c r="A5726" t="s">
        <v>10140</v>
      </c>
      <c r="B5726" t="s">
        <v>32</v>
      </c>
      <c r="C5726">
        <v>7648876604</v>
      </c>
      <c r="D5726" s="2">
        <v>1</v>
      </c>
      <c r="E5726" t="str">
        <f>"4574674200804516"</f>
        <v>4574674200804516</v>
      </c>
      <c r="F5726" t="str">
        <f>"157"</f>
        <v>157</v>
      </c>
      <c r="G5726">
        <v>1</v>
      </c>
      <c r="H5726">
        <v>2023</v>
      </c>
      <c r="I5726" t="s">
        <v>5841</v>
      </c>
    </row>
    <row r="5727" spans="1:9" x14ac:dyDescent="0.3">
      <c r="A5727" t="s">
        <v>10140</v>
      </c>
      <c r="B5727" t="s">
        <v>32</v>
      </c>
      <c r="C5727">
        <v>7648876604</v>
      </c>
      <c r="D5727" s="2">
        <v>1</v>
      </c>
      <c r="E5727" t="str">
        <f>"4574674200804524"</f>
        <v>4574674200804524</v>
      </c>
      <c r="F5727" t="str">
        <f>"009"</f>
        <v>009</v>
      </c>
      <c r="G5727">
        <v>1</v>
      </c>
      <c r="H5727">
        <v>2023</v>
      </c>
      <c r="I5727" t="s">
        <v>5842</v>
      </c>
    </row>
    <row r="5728" spans="1:9" x14ac:dyDescent="0.3">
      <c r="A5728" t="s">
        <v>10141</v>
      </c>
      <c r="B5728" t="s">
        <v>33</v>
      </c>
      <c r="C5728">
        <v>7648876604</v>
      </c>
      <c r="D5728" s="2">
        <v>1</v>
      </c>
      <c r="E5728" t="str">
        <f>"4574674200804854"</f>
        <v>4574674200804854</v>
      </c>
      <c r="F5728" t="str">
        <f>"926"</f>
        <v>926</v>
      </c>
      <c r="G5728">
        <v>1</v>
      </c>
      <c r="H5728">
        <v>2023</v>
      </c>
      <c r="I5728" t="s">
        <v>5843</v>
      </c>
    </row>
    <row r="5729" spans="1:9" x14ac:dyDescent="0.3">
      <c r="A5729" t="s">
        <v>10141</v>
      </c>
      <c r="B5729" t="s">
        <v>33</v>
      </c>
      <c r="C5729">
        <v>7648876604</v>
      </c>
      <c r="D5729" s="2">
        <v>1</v>
      </c>
      <c r="E5729" t="str">
        <f>"4574674200804565"</f>
        <v>4574674200804565</v>
      </c>
      <c r="F5729" t="str">
        <f>"437"</f>
        <v>437</v>
      </c>
      <c r="G5729">
        <v>1</v>
      </c>
      <c r="H5729">
        <v>2023</v>
      </c>
      <c r="I5729" t="s">
        <v>5844</v>
      </c>
    </row>
    <row r="5730" spans="1:9" x14ac:dyDescent="0.3">
      <c r="A5730" t="s">
        <v>10141</v>
      </c>
      <c r="B5730" t="s">
        <v>33</v>
      </c>
      <c r="C5730">
        <v>7648876604</v>
      </c>
      <c r="D5730" s="2">
        <v>1</v>
      </c>
      <c r="E5730" t="str">
        <f>"4574674200804581"</f>
        <v>4574674200804581</v>
      </c>
      <c r="F5730" t="str">
        <f>"434"</f>
        <v>434</v>
      </c>
      <c r="G5730">
        <v>1</v>
      </c>
      <c r="H5730">
        <v>2023</v>
      </c>
      <c r="I5730" t="s">
        <v>5845</v>
      </c>
    </row>
    <row r="5731" spans="1:9" x14ac:dyDescent="0.3">
      <c r="A5731" t="s">
        <v>10141</v>
      </c>
      <c r="B5731" t="s">
        <v>33</v>
      </c>
      <c r="C5731">
        <v>7648876604</v>
      </c>
      <c r="D5731" s="2">
        <v>1</v>
      </c>
      <c r="E5731" t="str">
        <f>"4574674200805000"</f>
        <v>4574674200805000</v>
      </c>
      <c r="F5731" t="str">
        <f>"622"</f>
        <v>622</v>
      </c>
      <c r="G5731">
        <v>1</v>
      </c>
      <c r="H5731">
        <v>2023</v>
      </c>
      <c r="I5731" t="s">
        <v>5846</v>
      </c>
    </row>
    <row r="5732" spans="1:9" x14ac:dyDescent="0.3">
      <c r="A5732" t="s">
        <v>10141</v>
      </c>
      <c r="B5732" t="s">
        <v>33</v>
      </c>
      <c r="C5732">
        <v>7648876604</v>
      </c>
      <c r="D5732" s="2">
        <v>1</v>
      </c>
      <c r="E5732" t="str">
        <f>"4574674200805018"</f>
        <v>4574674200805018</v>
      </c>
      <c r="F5732" t="str">
        <f>"097"</f>
        <v>097</v>
      </c>
      <c r="G5732">
        <v>1</v>
      </c>
      <c r="H5732">
        <v>2023</v>
      </c>
      <c r="I5732" t="s">
        <v>5847</v>
      </c>
    </row>
    <row r="5733" spans="1:9" x14ac:dyDescent="0.3">
      <c r="A5733" t="s">
        <v>10141</v>
      </c>
      <c r="B5733" t="s">
        <v>33</v>
      </c>
      <c r="C5733">
        <v>7648876604</v>
      </c>
      <c r="D5733" s="2">
        <v>1</v>
      </c>
      <c r="E5733" t="str">
        <f>"4574674200805026"</f>
        <v>4574674200805026</v>
      </c>
      <c r="F5733" t="str">
        <f>"720"</f>
        <v>720</v>
      </c>
      <c r="G5733">
        <v>1</v>
      </c>
      <c r="H5733">
        <v>2023</v>
      </c>
      <c r="I5733" t="s">
        <v>5848</v>
      </c>
    </row>
    <row r="5734" spans="1:9" x14ac:dyDescent="0.3">
      <c r="A5734" t="s">
        <v>10141</v>
      </c>
      <c r="B5734" t="s">
        <v>33</v>
      </c>
      <c r="C5734">
        <v>7648876604</v>
      </c>
      <c r="D5734" s="2">
        <v>1</v>
      </c>
      <c r="E5734" t="str">
        <f>"4574674200805059"</f>
        <v>4574674200805059</v>
      </c>
      <c r="F5734" t="str">
        <f>"471"</f>
        <v>471</v>
      </c>
      <c r="G5734">
        <v>1</v>
      </c>
      <c r="H5734">
        <v>2023</v>
      </c>
      <c r="I5734" t="s">
        <v>5849</v>
      </c>
    </row>
    <row r="5735" spans="1:9" x14ac:dyDescent="0.3">
      <c r="A5735" t="s">
        <v>10141</v>
      </c>
      <c r="B5735" t="s">
        <v>33</v>
      </c>
      <c r="C5735">
        <v>7648876604</v>
      </c>
      <c r="D5735" s="2">
        <v>1</v>
      </c>
      <c r="E5735" t="str">
        <f>"4574674200805265"</f>
        <v>4574674200805265</v>
      </c>
      <c r="F5735" t="str">
        <f>"754"</f>
        <v>754</v>
      </c>
      <c r="G5735">
        <v>1</v>
      </c>
      <c r="H5735">
        <v>2023</v>
      </c>
      <c r="I5735" t="s">
        <v>5850</v>
      </c>
    </row>
    <row r="5736" spans="1:9" x14ac:dyDescent="0.3">
      <c r="A5736" t="s">
        <v>10141</v>
      </c>
      <c r="B5736" t="s">
        <v>33</v>
      </c>
      <c r="C5736">
        <v>7648876604</v>
      </c>
      <c r="D5736" s="2">
        <v>1</v>
      </c>
      <c r="E5736" t="str">
        <f>"4574674200805109"</f>
        <v>4574674200805109</v>
      </c>
      <c r="F5736" t="str">
        <f>"887"</f>
        <v>887</v>
      </c>
      <c r="G5736">
        <v>1</v>
      </c>
      <c r="H5736">
        <v>2023</v>
      </c>
      <c r="I5736" t="s">
        <v>5851</v>
      </c>
    </row>
    <row r="5737" spans="1:9" x14ac:dyDescent="0.3">
      <c r="A5737" t="s">
        <v>10141</v>
      </c>
      <c r="B5737" t="s">
        <v>33</v>
      </c>
      <c r="C5737">
        <v>7648876604</v>
      </c>
      <c r="D5737" s="2">
        <v>1</v>
      </c>
      <c r="E5737" t="str">
        <f>"4574674200805117"</f>
        <v>4574674200805117</v>
      </c>
      <c r="F5737" t="str">
        <f>"046"</f>
        <v>046</v>
      </c>
      <c r="G5737">
        <v>1</v>
      </c>
      <c r="H5737">
        <v>2023</v>
      </c>
      <c r="I5737" t="s">
        <v>5852</v>
      </c>
    </row>
    <row r="5738" spans="1:9" x14ac:dyDescent="0.3">
      <c r="A5738" t="s">
        <v>10142</v>
      </c>
      <c r="B5738" t="s">
        <v>34</v>
      </c>
      <c r="C5738">
        <v>7648876604</v>
      </c>
      <c r="D5738" s="2">
        <v>1</v>
      </c>
      <c r="E5738" t="str">
        <f>"4574674200805125"</f>
        <v>4574674200805125</v>
      </c>
      <c r="F5738" t="str">
        <f>"536"</f>
        <v>536</v>
      </c>
      <c r="G5738">
        <v>1</v>
      </c>
      <c r="H5738">
        <v>2023</v>
      </c>
      <c r="I5738" t="s">
        <v>5853</v>
      </c>
    </row>
    <row r="5739" spans="1:9" x14ac:dyDescent="0.3">
      <c r="A5739" t="s">
        <v>10142</v>
      </c>
      <c r="B5739" t="s">
        <v>34</v>
      </c>
      <c r="C5739">
        <v>7648876604</v>
      </c>
      <c r="D5739" s="2">
        <v>1</v>
      </c>
      <c r="E5739" t="str">
        <f>"4574674200805141"</f>
        <v>4574674200805141</v>
      </c>
      <c r="F5739" t="str">
        <f>"329"</f>
        <v>329</v>
      </c>
      <c r="G5739">
        <v>1</v>
      </c>
      <c r="H5739">
        <v>2023</v>
      </c>
      <c r="I5739" t="s">
        <v>5854</v>
      </c>
    </row>
    <row r="5740" spans="1:9" x14ac:dyDescent="0.3">
      <c r="A5740" t="s">
        <v>10142</v>
      </c>
      <c r="B5740" t="s">
        <v>34</v>
      </c>
      <c r="C5740">
        <v>7648876604</v>
      </c>
      <c r="D5740" s="2">
        <v>1</v>
      </c>
      <c r="E5740" t="str">
        <f>"4574674200805414"</f>
        <v>4574674200805414</v>
      </c>
      <c r="F5740" t="str">
        <f>"068"</f>
        <v>068</v>
      </c>
      <c r="G5740">
        <v>1</v>
      </c>
      <c r="H5740">
        <v>2023</v>
      </c>
      <c r="I5740" t="s">
        <v>5855</v>
      </c>
    </row>
    <row r="5741" spans="1:9" x14ac:dyDescent="0.3">
      <c r="A5741" t="s">
        <v>10142</v>
      </c>
      <c r="B5741" t="s">
        <v>34</v>
      </c>
      <c r="C5741">
        <v>7648876604</v>
      </c>
      <c r="D5741" s="2">
        <v>1</v>
      </c>
      <c r="E5741" t="str">
        <f>"4574674200805158"</f>
        <v>4574674200805158</v>
      </c>
      <c r="F5741" t="str">
        <f>"049"</f>
        <v>049</v>
      </c>
      <c r="G5741">
        <v>1</v>
      </c>
      <c r="H5741">
        <v>2023</v>
      </c>
      <c r="I5741" t="s">
        <v>5856</v>
      </c>
    </row>
    <row r="5742" spans="1:9" x14ac:dyDescent="0.3">
      <c r="A5742" t="s">
        <v>10142</v>
      </c>
      <c r="B5742" t="s">
        <v>34</v>
      </c>
      <c r="C5742">
        <v>7648876604</v>
      </c>
      <c r="D5742" s="2">
        <v>1</v>
      </c>
      <c r="E5742" t="str">
        <f>"4574674200805182"</f>
        <v>4574674200805182</v>
      </c>
      <c r="F5742" t="str">
        <f>"407"</f>
        <v>407</v>
      </c>
      <c r="G5742">
        <v>1</v>
      </c>
      <c r="H5742">
        <v>2023</v>
      </c>
      <c r="I5742" t="s">
        <v>5857</v>
      </c>
    </row>
    <row r="5743" spans="1:9" x14ac:dyDescent="0.3">
      <c r="A5743" t="s">
        <v>10142</v>
      </c>
      <c r="B5743" t="s">
        <v>34</v>
      </c>
      <c r="C5743">
        <v>7648876604</v>
      </c>
      <c r="D5743" s="2">
        <v>1</v>
      </c>
      <c r="E5743" t="str">
        <f>"4574674200805604"</f>
        <v>4574674200805604</v>
      </c>
      <c r="F5743" t="str">
        <f>"628"</f>
        <v>628</v>
      </c>
      <c r="G5743">
        <v>1</v>
      </c>
      <c r="H5743">
        <v>2023</v>
      </c>
      <c r="I5743" t="s">
        <v>5858</v>
      </c>
    </row>
    <row r="5744" spans="1:9" x14ac:dyDescent="0.3">
      <c r="A5744" t="s">
        <v>10142</v>
      </c>
      <c r="B5744" t="s">
        <v>34</v>
      </c>
      <c r="C5744">
        <v>7648876604</v>
      </c>
      <c r="D5744" s="2">
        <v>1</v>
      </c>
      <c r="E5744" t="str">
        <f>"4574674200805620"</f>
        <v>4574674200805620</v>
      </c>
      <c r="F5744" t="str">
        <f>"212"</f>
        <v>212</v>
      </c>
      <c r="G5744">
        <v>1</v>
      </c>
      <c r="H5744">
        <v>2023</v>
      </c>
      <c r="I5744" t="s">
        <v>5859</v>
      </c>
    </row>
    <row r="5745" spans="1:9" x14ac:dyDescent="0.3">
      <c r="A5745" t="s">
        <v>10142</v>
      </c>
      <c r="B5745" t="s">
        <v>34</v>
      </c>
      <c r="C5745">
        <v>7648876604</v>
      </c>
      <c r="D5745" s="2">
        <v>1</v>
      </c>
      <c r="E5745" t="str">
        <f>"4574674200805596"</f>
        <v>4574674200805596</v>
      </c>
      <c r="F5745" t="str">
        <f>"683"</f>
        <v>683</v>
      </c>
      <c r="G5745">
        <v>1</v>
      </c>
      <c r="H5745">
        <v>2023</v>
      </c>
      <c r="I5745" t="s">
        <v>5860</v>
      </c>
    </row>
    <row r="5746" spans="1:9" x14ac:dyDescent="0.3">
      <c r="A5746" t="s">
        <v>10142</v>
      </c>
      <c r="B5746" t="s">
        <v>34</v>
      </c>
      <c r="C5746">
        <v>7648876604</v>
      </c>
      <c r="D5746" s="2">
        <v>1</v>
      </c>
      <c r="E5746" t="str">
        <f>"4574674200805653"</f>
        <v>4574674200805653</v>
      </c>
      <c r="F5746" t="str">
        <f>"586"</f>
        <v>586</v>
      </c>
      <c r="G5746">
        <v>1</v>
      </c>
      <c r="H5746">
        <v>2023</v>
      </c>
      <c r="I5746" t="s">
        <v>5861</v>
      </c>
    </row>
    <row r="5747" spans="1:9" x14ac:dyDescent="0.3">
      <c r="A5747" t="s">
        <v>10142</v>
      </c>
      <c r="B5747" t="s">
        <v>34</v>
      </c>
      <c r="C5747">
        <v>7648876604</v>
      </c>
      <c r="D5747" s="2">
        <v>1</v>
      </c>
      <c r="E5747" t="str">
        <f>"4574674200805661"</f>
        <v>4574674200805661</v>
      </c>
      <c r="F5747" t="str">
        <f>"997"</f>
        <v>997</v>
      </c>
      <c r="G5747">
        <v>1</v>
      </c>
      <c r="H5747">
        <v>2023</v>
      </c>
      <c r="I5747" t="s">
        <v>5862</v>
      </c>
    </row>
    <row r="5748" spans="1:9" x14ac:dyDescent="0.3">
      <c r="A5748" t="s">
        <v>10143</v>
      </c>
      <c r="B5748" t="s">
        <v>35</v>
      </c>
      <c r="C5748">
        <v>7648876604</v>
      </c>
      <c r="D5748" s="2">
        <v>1</v>
      </c>
      <c r="E5748" t="str">
        <f>"4574674200805679"</f>
        <v>4574674200805679</v>
      </c>
      <c r="F5748" t="str">
        <f>"398"</f>
        <v>398</v>
      </c>
      <c r="G5748">
        <v>1</v>
      </c>
      <c r="H5748">
        <v>2023</v>
      </c>
      <c r="I5748" t="s">
        <v>5863</v>
      </c>
    </row>
    <row r="5749" spans="1:9" x14ac:dyDescent="0.3">
      <c r="A5749" t="s">
        <v>10143</v>
      </c>
      <c r="B5749" t="s">
        <v>35</v>
      </c>
      <c r="C5749">
        <v>7648876604</v>
      </c>
      <c r="D5749" s="2">
        <v>1</v>
      </c>
      <c r="E5749" t="str">
        <f>"4574674200805695"</f>
        <v>4574674200805695</v>
      </c>
      <c r="F5749" t="str">
        <f>"668"</f>
        <v>668</v>
      </c>
      <c r="G5749">
        <v>1</v>
      </c>
      <c r="H5749">
        <v>2023</v>
      </c>
      <c r="I5749" t="s">
        <v>5864</v>
      </c>
    </row>
    <row r="5750" spans="1:9" x14ac:dyDescent="0.3">
      <c r="A5750" t="s">
        <v>10143</v>
      </c>
      <c r="B5750" t="s">
        <v>35</v>
      </c>
      <c r="C5750">
        <v>7648876604</v>
      </c>
      <c r="D5750" s="2">
        <v>1</v>
      </c>
      <c r="E5750" t="str">
        <f>"4574674200805935"</f>
        <v>4574674200805935</v>
      </c>
      <c r="F5750" t="str">
        <f>"491"</f>
        <v>491</v>
      </c>
      <c r="G5750">
        <v>1</v>
      </c>
      <c r="H5750">
        <v>2023</v>
      </c>
      <c r="I5750" t="s">
        <v>5865</v>
      </c>
    </row>
    <row r="5751" spans="1:9" x14ac:dyDescent="0.3">
      <c r="A5751" t="s">
        <v>10143</v>
      </c>
      <c r="B5751" t="s">
        <v>35</v>
      </c>
      <c r="C5751">
        <v>7648876604</v>
      </c>
      <c r="D5751" s="2">
        <v>1</v>
      </c>
      <c r="E5751" t="str">
        <f>"4574674200805737"</f>
        <v>4574674200805737</v>
      </c>
      <c r="F5751" t="str">
        <f>"380"</f>
        <v>380</v>
      </c>
      <c r="G5751">
        <v>1</v>
      </c>
      <c r="H5751">
        <v>2023</v>
      </c>
      <c r="I5751" t="s">
        <v>5866</v>
      </c>
    </row>
    <row r="5752" spans="1:9" x14ac:dyDescent="0.3">
      <c r="A5752" t="s">
        <v>10143</v>
      </c>
      <c r="B5752" t="s">
        <v>35</v>
      </c>
      <c r="C5752">
        <v>7648876604</v>
      </c>
      <c r="D5752" s="2">
        <v>1</v>
      </c>
      <c r="E5752" t="str">
        <f>"4574674200805711"</f>
        <v>4574674200805711</v>
      </c>
      <c r="F5752" t="str">
        <f>"423"</f>
        <v>423</v>
      </c>
      <c r="G5752">
        <v>1</v>
      </c>
      <c r="H5752">
        <v>2023</v>
      </c>
      <c r="I5752" t="s">
        <v>5867</v>
      </c>
    </row>
    <row r="5753" spans="1:9" x14ac:dyDescent="0.3">
      <c r="A5753" t="s">
        <v>10143</v>
      </c>
      <c r="B5753" t="s">
        <v>35</v>
      </c>
      <c r="C5753">
        <v>7648876604</v>
      </c>
      <c r="D5753" s="2">
        <v>1</v>
      </c>
      <c r="E5753" t="str">
        <f>"4574674200806107"</f>
        <v>4574674200806107</v>
      </c>
      <c r="F5753" t="str">
        <f>"291"</f>
        <v>291</v>
      </c>
      <c r="G5753">
        <v>1</v>
      </c>
      <c r="H5753">
        <v>2023</v>
      </c>
      <c r="I5753" t="s">
        <v>5868</v>
      </c>
    </row>
    <row r="5754" spans="1:9" x14ac:dyDescent="0.3">
      <c r="A5754" t="s">
        <v>10143</v>
      </c>
      <c r="B5754" t="s">
        <v>35</v>
      </c>
      <c r="C5754">
        <v>7648876604</v>
      </c>
      <c r="D5754" s="2">
        <v>1</v>
      </c>
      <c r="E5754" t="str">
        <f>"4574674200805760"</f>
        <v>4574674200805760</v>
      </c>
      <c r="F5754" t="str">
        <f>"168"</f>
        <v>168</v>
      </c>
      <c r="G5754">
        <v>1</v>
      </c>
      <c r="H5754">
        <v>2023</v>
      </c>
      <c r="I5754" t="s">
        <v>5869</v>
      </c>
    </row>
    <row r="5755" spans="1:9" x14ac:dyDescent="0.3">
      <c r="A5755" t="s">
        <v>10143</v>
      </c>
      <c r="B5755" t="s">
        <v>35</v>
      </c>
      <c r="C5755">
        <v>7648876604</v>
      </c>
      <c r="D5755" s="2">
        <v>1</v>
      </c>
      <c r="E5755" t="str">
        <f>"4574674200805794"</f>
        <v>4574674200805794</v>
      </c>
      <c r="F5755" t="str">
        <f>"655"</f>
        <v>655</v>
      </c>
      <c r="G5755">
        <v>1</v>
      </c>
      <c r="H5755">
        <v>2023</v>
      </c>
      <c r="I5755" t="s">
        <v>5870</v>
      </c>
    </row>
    <row r="5756" spans="1:9" x14ac:dyDescent="0.3">
      <c r="A5756" t="s">
        <v>10143</v>
      </c>
      <c r="B5756" t="s">
        <v>35</v>
      </c>
      <c r="C5756">
        <v>7648876604</v>
      </c>
      <c r="D5756" s="2">
        <v>1</v>
      </c>
      <c r="E5756" t="str">
        <f>"4574674200805786"</f>
        <v>4574674200805786</v>
      </c>
      <c r="F5756" t="str">
        <f>"506"</f>
        <v>506</v>
      </c>
      <c r="G5756">
        <v>1</v>
      </c>
      <c r="H5756">
        <v>2023</v>
      </c>
      <c r="I5756" t="s">
        <v>5871</v>
      </c>
    </row>
    <row r="5757" spans="1:9" x14ac:dyDescent="0.3">
      <c r="A5757" t="s">
        <v>10143</v>
      </c>
      <c r="B5757" t="s">
        <v>35</v>
      </c>
      <c r="C5757">
        <v>7648876604</v>
      </c>
      <c r="D5757" s="2">
        <v>1</v>
      </c>
      <c r="E5757" t="str">
        <f>"4574674200806206"</f>
        <v>4574674200806206</v>
      </c>
      <c r="F5757" t="str">
        <f>"094"</f>
        <v>094</v>
      </c>
      <c r="G5757">
        <v>1</v>
      </c>
      <c r="H5757">
        <v>2023</v>
      </c>
      <c r="I5757" t="s">
        <v>5872</v>
      </c>
    </row>
    <row r="5758" spans="1:9" x14ac:dyDescent="0.3">
      <c r="A5758" t="s">
        <v>10144</v>
      </c>
      <c r="B5758" t="s">
        <v>36</v>
      </c>
      <c r="C5758">
        <v>7648876604</v>
      </c>
      <c r="D5758" s="2">
        <v>1</v>
      </c>
      <c r="E5758" t="str">
        <f>"4574674200806412"</f>
        <v>4574674200806412</v>
      </c>
      <c r="F5758" t="str">
        <f>"288"</f>
        <v>288</v>
      </c>
      <c r="G5758">
        <v>1</v>
      </c>
      <c r="H5758">
        <v>2023</v>
      </c>
      <c r="I5758" t="s">
        <v>5873</v>
      </c>
    </row>
    <row r="5759" spans="1:9" x14ac:dyDescent="0.3">
      <c r="A5759" t="s">
        <v>10144</v>
      </c>
      <c r="B5759" t="s">
        <v>36</v>
      </c>
      <c r="C5759">
        <v>7648876604</v>
      </c>
      <c r="D5759" s="2">
        <v>1</v>
      </c>
      <c r="E5759" t="str">
        <f>"4574674200806263"</f>
        <v>4574674200806263</v>
      </c>
      <c r="F5759" t="str">
        <f>"059"</f>
        <v>059</v>
      </c>
      <c r="G5759">
        <v>1</v>
      </c>
      <c r="H5759">
        <v>2023</v>
      </c>
      <c r="I5759" t="s">
        <v>5874</v>
      </c>
    </row>
    <row r="5760" spans="1:9" x14ac:dyDescent="0.3">
      <c r="A5760" t="s">
        <v>10144</v>
      </c>
      <c r="B5760" t="s">
        <v>36</v>
      </c>
      <c r="C5760">
        <v>7648876604</v>
      </c>
      <c r="D5760" s="2">
        <v>1</v>
      </c>
      <c r="E5760" t="str">
        <f>"4574674200806271"</f>
        <v>4574674200806271</v>
      </c>
      <c r="F5760" t="str">
        <f>"890"</f>
        <v>890</v>
      </c>
      <c r="G5760">
        <v>1</v>
      </c>
      <c r="H5760">
        <v>2023</v>
      </c>
      <c r="I5760" t="s">
        <v>5875</v>
      </c>
    </row>
    <row r="5761" spans="1:9" x14ac:dyDescent="0.3">
      <c r="A5761" t="s">
        <v>10144</v>
      </c>
      <c r="B5761" t="s">
        <v>36</v>
      </c>
      <c r="C5761">
        <v>7648876604</v>
      </c>
      <c r="D5761" s="2">
        <v>1</v>
      </c>
      <c r="E5761" t="str">
        <f>"4574674200806305"</f>
        <v>4574674200806305</v>
      </c>
      <c r="F5761" t="str">
        <f>"551"</f>
        <v>551</v>
      </c>
      <c r="G5761">
        <v>1</v>
      </c>
      <c r="H5761">
        <v>2023</v>
      </c>
      <c r="I5761" t="s">
        <v>5876</v>
      </c>
    </row>
    <row r="5762" spans="1:9" x14ac:dyDescent="0.3">
      <c r="A5762" t="s">
        <v>10144</v>
      </c>
      <c r="B5762" t="s">
        <v>36</v>
      </c>
      <c r="C5762">
        <v>7648876604</v>
      </c>
      <c r="D5762" s="2">
        <v>1</v>
      </c>
      <c r="E5762" t="str">
        <f>"4574674200806297"</f>
        <v>4574674200806297</v>
      </c>
      <c r="F5762" t="str">
        <f>"708"</f>
        <v>708</v>
      </c>
      <c r="G5762">
        <v>1</v>
      </c>
      <c r="H5762">
        <v>2023</v>
      </c>
      <c r="I5762" t="s">
        <v>5877</v>
      </c>
    </row>
    <row r="5763" spans="1:9" x14ac:dyDescent="0.3">
      <c r="A5763" t="s">
        <v>10144</v>
      </c>
      <c r="B5763" t="s">
        <v>36</v>
      </c>
      <c r="C5763">
        <v>7648876604</v>
      </c>
      <c r="D5763" s="2">
        <v>1</v>
      </c>
      <c r="E5763" t="str">
        <f>"4574674200806602"</f>
        <v>4574674200806602</v>
      </c>
      <c r="F5763" t="str">
        <f>"968"</f>
        <v>968</v>
      </c>
      <c r="G5763">
        <v>1</v>
      </c>
      <c r="H5763">
        <v>2023</v>
      </c>
      <c r="I5763" t="s">
        <v>5878</v>
      </c>
    </row>
    <row r="5764" spans="1:9" x14ac:dyDescent="0.3">
      <c r="A5764" t="s">
        <v>10144</v>
      </c>
      <c r="B5764" t="s">
        <v>36</v>
      </c>
      <c r="C5764">
        <v>7648876604</v>
      </c>
      <c r="D5764" s="2">
        <v>1</v>
      </c>
      <c r="E5764" t="str">
        <f>"4574674200806347"</f>
        <v>4574674200806347</v>
      </c>
      <c r="F5764" t="str">
        <f>"794"</f>
        <v>794</v>
      </c>
      <c r="G5764">
        <v>1</v>
      </c>
      <c r="H5764">
        <v>2023</v>
      </c>
      <c r="I5764" t="s">
        <v>5879</v>
      </c>
    </row>
    <row r="5765" spans="1:9" x14ac:dyDescent="0.3">
      <c r="A5765" t="s">
        <v>10144</v>
      </c>
      <c r="B5765" t="s">
        <v>36</v>
      </c>
      <c r="C5765">
        <v>7648876604</v>
      </c>
      <c r="D5765" s="2">
        <v>1</v>
      </c>
      <c r="E5765" t="str">
        <f>"4574674200806339"</f>
        <v>4574674200806339</v>
      </c>
      <c r="F5765" t="str">
        <f>"900"</f>
        <v>900</v>
      </c>
      <c r="G5765">
        <v>1</v>
      </c>
      <c r="H5765">
        <v>2023</v>
      </c>
      <c r="I5765" t="s">
        <v>5880</v>
      </c>
    </row>
    <row r="5766" spans="1:9" x14ac:dyDescent="0.3">
      <c r="A5766" t="s">
        <v>10144</v>
      </c>
      <c r="B5766" t="s">
        <v>36</v>
      </c>
      <c r="C5766">
        <v>7648876604</v>
      </c>
      <c r="D5766" s="2">
        <v>1</v>
      </c>
      <c r="E5766" t="str">
        <f>"4574674200806388"</f>
        <v>4574674200806388</v>
      </c>
      <c r="F5766" t="str">
        <f>"182"</f>
        <v>182</v>
      </c>
      <c r="G5766">
        <v>1</v>
      </c>
      <c r="H5766">
        <v>2023</v>
      </c>
      <c r="I5766" t="s">
        <v>5881</v>
      </c>
    </row>
    <row r="5767" spans="1:9" x14ac:dyDescent="0.3">
      <c r="A5767" t="s">
        <v>10144</v>
      </c>
      <c r="B5767" t="s">
        <v>36</v>
      </c>
      <c r="C5767">
        <v>7648876604</v>
      </c>
      <c r="D5767" s="2">
        <v>1</v>
      </c>
      <c r="E5767" t="str">
        <f>"4574674200806800"</f>
        <v>4574674200806800</v>
      </c>
      <c r="F5767" t="str">
        <f>"948"</f>
        <v>948</v>
      </c>
      <c r="G5767">
        <v>1</v>
      </c>
      <c r="H5767">
        <v>2023</v>
      </c>
      <c r="I5767" t="s">
        <v>5882</v>
      </c>
    </row>
    <row r="5768" spans="1:9" x14ac:dyDescent="0.3">
      <c r="A5768" t="s">
        <v>10145</v>
      </c>
      <c r="B5768" t="s">
        <v>37</v>
      </c>
      <c r="C5768">
        <v>7648876604</v>
      </c>
      <c r="D5768" s="2">
        <v>1</v>
      </c>
      <c r="E5768" t="str">
        <f>"4574674200806396"</f>
        <v>4574674200806396</v>
      </c>
      <c r="F5768" t="str">
        <f>"667"</f>
        <v>667</v>
      </c>
      <c r="G5768">
        <v>1</v>
      </c>
      <c r="H5768">
        <v>2023</v>
      </c>
      <c r="I5768" t="s">
        <v>5883</v>
      </c>
    </row>
    <row r="5769" spans="1:9" x14ac:dyDescent="0.3">
      <c r="A5769" t="s">
        <v>10145</v>
      </c>
      <c r="B5769" t="s">
        <v>37</v>
      </c>
      <c r="C5769">
        <v>7648876604</v>
      </c>
      <c r="D5769" s="2">
        <v>1</v>
      </c>
      <c r="E5769" t="str">
        <f>"4574674200807022"</f>
        <v>4574674200807022</v>
      </c>
      <c r="F5769" t="str">
        <f>"872"</f>
        <v>872</v>
      </c>
      <c r="G5769">
        <v>1</v>
      </c>
      <c r="H5769">
        <v>2023</v>
      </c>
      <c r="I5769" t="s">
        <v>5884</v>
      </c>
    </row>
    <row r="5770" spans="1:9" x14ac:dyDescent="0.3">
      <c r="A5770" t="s">
        <v>10145</v>
      </c>
      <c r="B5770" t="s">
        <v>37</v>
      </c>
      <c r="C5770">
        <v>7648876604</v>
      </c>
      <c r="D5770" s="2">
        <v>1</v>
      </c>
      <c r="E5770" t="str">
        <f>"4574674200807014"</f>
        <v>4574674200807014</v>
      </c>
      <c r="F5770" t="str">
        <f>"702"</f>
        <v>702</v>
      </c>
      <c r="G5770">
        <v>1</v>
      </c>
      <c r="H5770">
        <v>2023</v>
      </c>
      <c r="I5770" t="s">
        <v>5885</v>
      </c>
    </row>
    <row r="5771" spans="1:9" x14ac:dyDescent="0.3">
      <c r="A5771" t="s">
        <v>10145</v>
      </c>
      <c r="B5771" t="s">
        <v>37</v>
      </c>
      <c r="C5771">
        <v>7648876604</v>
      </c>
      <c r="D5771" s="2">
        <v>1</v>
      </c>
      <c r="E5771" t="str">
        <f>"4574674200807030"</f>
        <v>4574674200807030</v>
      </c>
      <c r="F5771" t="str">
        <f>"678"</f>
        <v>678</v>
      </c>
      <c r="G5771">
        <v>1</v>
      </c>
      <c r="H5771">
        <v>2023</v>
      </c>
      <c r="I5771" t="s">
        <v>5886</v>
      </c>
    </row>
    <row r="5772" spans="1:9" x14ac:dyDescent="0.3">
      <c r="A5772" t="s">
        <v>10145</v>
      </c>
      <c r="B5772" t="s">
        <v>37</v>
      </c>
      <c r="C5772">
        <v>7648876604</v>
      </c>
      <c r="D5772" s="2">
        <v>1</v>
      </c>
      <c r="E5772" t="str">
        <f>"4574674200807063"</f>
        <v>4574674200807063</v>
      </c>
      <c r="F5772" t="str">
        <f>"216"</f>
        <v>216</v>
      </c>
      <c r="G5772">
        <v>1</v>
      </c>
      <c r="H5772">
        <v>2023</v>
      </c>
      <c r="I5772" t="s">
        <v>5887</v>
      </c>
    </row>
    <row r="5773" spans="1:9" x14ac:dyDescent="0.3">
      <c r="A5773" t="s">
        <v>10145</v>
      </c>
      <c r="B5773" t="s">
        <v>37</v>
      </c>
      <c r="C5773">
        <v>7648876604</v>
      </c>
      <c r="D5773" s="2">
        <v>1</v>
      </c>
      <c r="E5773" t="str">
        <f>"4574674200806941"</f>
        <v>4574674200806941</v>
      </c>
      <c r="F5773" t="str">
        <f>"667"</f>
        <v>667</v>
      </c>
      <c r="G5773">
        <v>1</v>
      </c>
      <c r="H5773">
        <v>2023</v>
      </c>
      <c r="I5773" t="s">
        <v>5888</v>
      </c>
    </row>
    <row r="5774" spans="1:9" x14ac:dyDescent="0.3">
      <c r="A5774" t="s">
        <v>10145</v>
      </c>
      <c r="B5774" t="s">
        <v>37</v>
      </c>
      <c r="C5774">
        <v>7648876604</v>
      </c>
      <c r="D5774" s="2">
        <v>1</v>
      </c>
      <c r="E5774" t="str">
        <f>"4574674200807089"</f>
        <v>4574674200807089</v>
      </c>
      <c r="F5774" t="str">
        <f>"191"</f>
        <v>191</v>
      </c>
      <c r="G5774">
        <v>1</v>
      </c>
      <c r="H5774">
        <v>2023</v>
      </c>
      <c r="I5774" t="s">
        <v>5889</v>
      </c>
    </row>
    <row r="5775" spans="1:9" x14ac:dyDescent="0.3">
      <c r="A5775" t="s">
        <v>10145</v>
      </c>
      <c r="B5775" t="s">
        <v>37</v>
      </c>
      <c r="C5775">
        <v>7648876604</v>
      </c>
      <c r="D5775" s="2">
        <v>1</v>
      </c>
      <c r="E5775" t="str">
        <f>"4574674200807139"</f>
        <v>4574674200807139</v>
      </c>
      <c r="F5775" t="str">
        <f>"829"</f>
        <v>829</v>
      </c>
      <c r="G5775">
        <v>1</v>
      </c>
      <c r="H5775">
        <v>2023</v>
      </c>
      <c r="I5775" t="s">
        <v>5890</v>
      </c>
    </row>
    <row r="5776" spans="1:9" x14ac:dyDescent="0.3">
      <c r="A5776" t="s">
        <v>10145</v>
      </c>
      <c r="B5776" t="s">
        <v>37</v>
      </c>
      <c r="C5776">
        <v>7648876604</v>
      </c>
      <c r="D5776" s="2">
        <v>1</v>
      </c>
      <c r="E5776" t="str">
        <f>"4574674200807121"</f>
        <v>4574674200807121</v>
      </c>
      <c r="F5776" t="str">
        <f>"074"</f>
        <v>074</v>
      </c>
      <c r="G5776">
        <v>1</v>
      </c>
      <c r="H5776">
        <v>2023</v>
      </c>
      <c r="I5776" t="s">
        <v>5891</v>
      </c>
    </row>
    <row r="5777" spans="1:9" x14ac:dyDescent="0.3">
      <c r="A5777" t="s">
        <v>10145</v>
      </c>
      <c r="B5777" t="s">
        <v>37</v>
      </c>
      <c r="C5777">
        <v>7648876604</v>
      </c>
      <c r="D5777" s="2">
        <v>1</v>
      </c>
      <c r="E5777" t="str">
        <f>"4574674200807147"</f>
        <v>4574674200807147</v>
      </c>
      <c r="F5777" t="str">
        <f>"285"</f>
        <v>285</v>
      </c>
      <c r="G5777">
        <v>1</v>
      </c>
      <c r="H5777">
        <v>2023</v>
      </c>
      <c r="I5777" t="s">
        <v>5892</v>
      </c>
    </row>
    <row r="5778" spans="1:9" x14ac:dyDescent="0.3">
      <c r="A5778" t="s">
        <v>10146</v>
      </c>
      <c r="B5778" t="s">
        <v>38</v>
      </c>
      <c r="C5778">
        <v>7648876604</v>
      </c>
      <c r="D5778" s="2">
        <v>1</v>
      </c>
      <c r="E5778" t="str">
        <f>"4574674200807279"</f>
        <v>4574674200807279</v>
      </c>
      <c r="F5778" t="str">
        <f>"069"</f>
        <v>069</v>
      </c>
      <c r="G5778">
        <v>1</v>
      </c>
      <c r="H5778">
        <v>2023</v>
      </c>
      <c r="I5778" t="s">
        <v>5893</v>
      </c>
    </row>
    <row r="5779" spans="1:9" x14ac:dyDescent="0.3">
      <c r="A5779" t="s">
        <v>10146</v>
      </c>
      <c r="B5779" t="s">
        <v>38</v>
      </c>
      <c r="C5779">
        <v>7648876604</v>
      </c>
      <c r="D5779" s="2">
        <v>1</v>
      </c>
      <c r="E5779" t="str">
        <f>"4574674200807162"</f>
        <v>4574674200807162</v>
      </c>
      <c r="F5779" t="str">
        <f>"628"</f>
        <v>628</v>
      </c>
      <c r="G5779">
        <v>1</v>
      </c>
      <c r="H5779">
        <v>2023</v>
      </c>
      <c r="I5779" t="s">
        <v>5894</v>
      </c>
    </row>
    <row r="5780" spans="1:9" x14ac:dyDescent="0.3">
      <c r="A5780" t="s">
        <v>10146</v>
      </c>
      <c r="B5780" t="s">
        <v>38</v>
      </c>
      <c r="C5780">
        <v>7648876604</v>
      </c>
      <c r="D5780" s="2">
        <v>1</v>
      </c>
      <c r="E5780" t="str">
        <f>"4574674200807170"</f>
        <v>4574674200807170</v>
      </c>
      <c r="F5780" t="str">
        <f>"598"</f>
        <v>598</v>
      </c>
      <c r="G5780">
        <v>1</v>
      </c>
      <c r="H5780">
        <v>2023</v>
      </c>
      <c r="I5780" t="s">
        <v>5895</v>
      </c>
    </row>
    <row r="5781" spans="1:9" x14ac:dyDescent="0.3">
      <c r="A5781" t="s">
        <v>10146</v>
      </c>
      <c r="B5781" t="s">
        <v>38</v>
      </c>
      <c r="C5781">
        <v>7648876604</v>
      </c>
      <c r="D5781" s="2">
        <v>1</v>
      </c>
      <c r="E5781" t="str">
        <f>"4574674200807402"</f>
        <v>4574674200807402</v>
      </c>
      <c r="F5781" t="str">
        <f>"999"</f>
        <v>999</v>
      </c>
      <c r="G5781">
        <v>1</v>
      </c>
      <c r="H5781">
        <v>2023</v>
      </c>
      <c r="I5781" t="s">
        <v>5896</v>
      </c>
    </row>
    <row r="5782" spans="1:9" x14ac:dyDescent="0.3">
      <c r="A5782" t="s">
        <v>10146</v>
      </c>
      <c r="B5782" t="s">
        <v>38</v>
      </c>
      <c r="C5782">
        <v>7648876604</v>
      </c>
      <c r="D5782" s="2">
        <v>1</v>
      </c>
      <c r="E5782" t="str">
        <f>"4574674200807717"</f>
        <v>4574674200807717</v>
      </c>
      <c r="F5782" t="str">
        <f>"585"</f>
        <v>585</v>
      </c>
      <c r="G5782">
        <v>1</v>
      </c>
      <c r="H5782">
        <v>2023</v>
      </c>
      <c r="I5782" t="s">
        <v>5897</v>
      </c>
    </row>
    <row r="5783" spans="1:9" x14ac:dyDescent="0.3">
      <c r="A5783" t="s">
        <v>10146</v>
      </c>
      <c r="B5783" t="s">
        <v>38</v>
      </c>
      <c r="C5783">
        <v>7648876604</v>
      </c>
      <c r="D5783" s="2">
        <v>1</v>
      </c>
      <c r="E5783" t="str">
        <f>"4574674200807519"</f>
        <v>4574674200807519</v>
      </c>
      <c r="F5783" t="str">
        <f>"422"</f>
        <v>422</v>
      </c>
      <c r="G5783">
        <v>1</v>
      </c>
      <c r="H5783">
        <v>2023</v>
      </c>
      <c r="I5783" t="s">
        <v>5898</v>
      </c>
    </row>
    <row r="5784" spans="1:9" x14ac:dyDescent="0.3">
      <c r="A5784" t="s">
        <v>10146</v>
      </c>
      <c r="B5784" t="s">
        <v>38</v>
      </c>
      <c r="C5784">
        <v>7648876604</v>
      </c>
      <c r="D5784" s="2">
        <v>1</v>
      </c>
      <c r="E5784" t="str">
        <f>"4574674200807444"</f>
        <v>4574674200807444</v>
      </c>
      <c r="F5784" t="str">
        <f>"971"</f>
        <v>971</v>
      </c>
      <c r="G5784">
        <v>1</v>
      </c>
      <c r="H5784">
        <v>2023</v>
      </c>
      <c r="I5784" t="s">
        <v>5899</v>
      </c>
    </row>
    <row r="5785" spans="1:9" x14ac:dyDescent="0.3">
      <c r="A5785" t="s">
        <v>10146</v>
      </c>
      <c r="B5785" t="s">
        <v>38</v>
      </c>
      <c r="C5785">
        <v>7648876604</v>
      </c>
      <c r="D5785" s="2">
        <v>1</v>
      </c>
      <c r="E5785" t="str">
        <f>"4574674200807477"</f>
        <v>4574674200807477</v>
      </c>
      <c r="F5785" t="str">
        <f>"285"</f>
        <v>285</v>
      </c>
      <c r="G5785">
        <v>1</v>
      </c>
      <c r="H5785">
        <v>2023</v>
      </c>
      <c r="I5785" t="s">
        <v>5900</v>
      </c>
    </row>
    <row r="5786" spans="1:9" x14ac:dyDescent="0.3">
      <c r="A5786" t="s">
        <v>10146</v>
      </c>
      <c r="B5786" t="s">
        <v>38</v>
      </c>
      <c r="C5786">
        <v>7648876604</v>
      </c>
      <c r="D5786" s="2">
        <v>1</v>
      </c>
      <c r="E5786" t="str">
        <f>"4574674200807527"</f>
        <v>4574674200807527</v>
      </c>
      <c r="F5786" t="str">
        <f>"326"</f>
        <v>326</v>
      </c>
      <c r="G5786">
        <v>1</v>
      </c>
      <c r="H5786">
        <v>2023</v>
      </c>
      <c r="I5786" t="s">
        <v>5901</v>
      </c>
    </row>
    <row r="5787" spans="1:9" x14ac:dyDescent="0.3">
      <c r="A5787" t="s">
        <v>10146</v>
      </c>
      <c r="B5787" t="s">
        <v>38</v>
      </c>
      <c r="C5787">
        <v>7648876604</v>
      </c>
      <c r="D5787" s="2">
        <v>1</v>
      </c>
      <c r="E5787" t="str">
        <f>"4574674200807543"</f>
        <v>4574674200807543</v>
      </c>
      <c r="F5787" t="str">
        <f>"141"</f>
        <v>141</v>
      </c>
      <c r="G5787">
        <v>1</v>
      </c>
      <c r="H5787">
        <v>2023</v>
      </c>
      <c r="I5787" t="s">
        <v>5902</v>
      </c>
    </row>
    <row r="5788" spans="1:9" x14ac:dyDescent="0.3">
      <c r="A5788" t="s">
        <v>10147</v>
      </c>
      <c r="B5788" t="s">
        <v>39</v>
      </c>
      <c r="C5788">
        <v>7648876604</v>
      </c>
      <c r="D5788" s="2">
        <v>1</v>
      </c>
      <c r="E5788" t="str">
        <f>"4574674200807469"</f>
        <v>4574674200807469</v>
      </c>
      <c r="F5788" t="str">
        <f>"802"</f>
        <v>802</v>
      </c>
      <c r="G5788">
        <v>1</v>
      </c>
      <c r="H5788">
        <v>2023</v>
      </c>
      <c r="I5788" t="s">
        <v>5903</v>
      </c>
    </row>
    <row r="5789" spans="1:9" x14ac:dyDescent="0.3">
      <c r="A5789" t="s">
        <v>10147</v>
      </c>
      <c r="B5789" t="s">
        <v>39</v>
      </c>
      <c r="C5789">
        <v>7648876604</v>
      </c>
      <c r="D5789" s="2">
        <v>1</v>
      </c>
      <c r="E5789" t="str">
        <f>"4574674200807568"</f>
        <v>4574674200807568</v>
      </c>
      <c r="F5789" t="str">
        <f>"576"</f>
        <v>576</v>
      </c>
      <c r="G5789">
        <v>1</v>
      </c>
      <c r="H5789">
        <v>2023</v>
      </c>
      <c r="I5789" t="s">
        <v>5904</v>
      </c>
    </row>
    <row r="5790" spans="1:9" x14ac:dyDescent="0.3">
      <c r="A5790" t="s">
        <v>10147</v>
      </c>
      <c r="B5790" t="s">
        <v>39</v>
      </c>
      <c r="C5790">
        <v>7648876604</v>
      </c>
      <c r="D5790" s="2">
        <v>1</v>
      </c>
      <c r="E5790" t="str">
        <f>"4574674200807576"</f>
        <v>4574674200807576</v>
      </c>
      <c r="F5790" t="str">
        <f>"234"</f>
        <v>234</v>
      </c>
      <c r="G5790">
        <v>1</v>
      </c>
      <c r="H5790">
        <v>2023</v>
      </c>
      <c r="I5790" t="s">
        <v>5905</v>
      </c>
    </row>
    <row r="5791" spans="1:9" x14ac:dyDescent="0.3">
      <c r="A5791" t="s">
        <v>10147</v>
      </c>
      <c r="B5791" t="s">
        <v>39</v>
      </c>
      <c r="C5791">
        <v>7648876604</v>
      </c>
      <c r="D5791" s="2">
        <v>1</v>
      </c>
      <c r="E5791" t="str">
        <f>"4574674200807584"</f>
        <v>4574674200807584</v>
      </c>
      <c r="F5791" t="str">
        <f>"136"</f>
        <v>136</v>
      </c>
      <c r="G5791">
        <v>1</v>
      </c>
      <c r="H5791">
        <v>2023</v>
      </c>
      <c r="I5791" t="s">
        <v>5906</v>
      </c>
    </row>
    <row r="5792" spans="1:9" x14ac:dyDescent="0.3">
      <c r="A5792" t="s">
        <v>10147</v>
      </c>
      <c r="B5792" t="s">
        <v>39</v>
      </c>
      <c r="C5792">
        <v>7648876604</v>
      </c>
      <c r="D5792" s="2">
        <v>1</v>
      </c>
      <c r="E5792" t="str">
        <f>"4574674200808079"</f>
        <v>4574674200808079</v>
      </c>
      <c r="F5792" t="str">
        <f>"928"</f>
        <v>928</v>
      </c>
      <c r="G5792">
        <v>1</v>
      </c>
      <c r="H5792">
        <v>2023</v>
      </c>
      <c r="I5792" t="s">
        <v>5907</v>
      </c>
    </row>
    <row r="5793" spans="1:9" x14ac:dyDescent="0.3">
      <c r="A5793" t="s">
        <v>10147</v>
      </c>
      <c r="B5793" t="s">
        <v>39</v>
      </c>
      <c r="C5793">
        <v>7648876604</v>
      </c>
      <c r="D5793" s="2">
        <v>1</v>
      </c>
      <c r="E5793" t="str">
        <f>"4574674200808228"</f>
        <v>4574674200808228</v>
      </c>
      <c r="F5793" t="str">
        <f>"841"</f>
        <v>841</v>
      </c>
      <c r="G5793">
        <v>1</v>
      </c>
      <c r="H5793">
        <v>2023</v>
      </c>
      <c r="I5793" t="s">
        <v>5908</v>
      </c>
    </row>
    <row r="5794" spans="1:9" x14ac:dyDescent="0.3">
      <c r="A5794" t="s">
        <v>10147</v>
      </c>
      <c r="B5794" t="s">
        <v>39</v>
      </c>
      <c r="C5794">
        <v>7648876604</v>
      </c>
      <c r="D5794" s="2">
        <v>1</v>
      </c>
      <c r="E5794" t="str">
        <f>"4574674200808087"</f>
        <v>4574674200808087</v>
      </c>
      <c r="F5794" t="str">
        <f>"990"</f>
        <v>990</v>
      </c>
      <c r="G5794">
        <v>1</v>
      </c>
      <c r="H5794">
        <v>2023</v>
      </c>
      <c r="I5794" t="s">
        <v>5909</v>
      </c>
    </row>
    <row r="5795" spans="1:9" x14ac:dyDescent="0.3">
      <c r="A5795" t="s">
        <v>10147</v>
      </c>
      <c r="B5795" t="s">
        <v>39</v>
      </c>
      <c r="C5795">
        <v>7648876604</v>
      </c>
      <c r="D5795" s="2">
        <v>1</v>
      </c>
      <c r="E5795" t="str">
        <f>"4574674200808251"</f>
        <v>4574674200808251</v>
      </c>
      <c r="F5795" t="str">
        <f>"586"</f>
        <v>586</v>
      </c>
      <c r="G5795">
        <v>1</v>
      </c>
      <c r="H5795">
        <v>2023</v>
      </c>
      <c r="I5795" t="s">
        <v>5910</v>
      </c>
    </row>
    <row r="5796" spans="1:9" x14ac:dyDescent="0.3">
      <c r="A5796" t="s">
        <v>10147</v>
      </c>
      <c r="B5796" t="s">
        <v>39</v>
      </c>
      <c r="C5796">
        <v>7648876604</v>
      </c>
      <c r="D5796" s="2">
        <v>1</v>
      </c>
      <c r="E5796" t="str">
        <f>"4574674200808434"</f>
        <v>4574674200808434</v>
      </c>
      <c r="F5796" t="str">
        <f>"550"</f>
        <v>550</v>
      </c>
      <c r="G5796">
        <v>1</v>
      </c>
      <c r="H5796">
        <v>2023</v>
      </c>
      <c r="I5796" t="s">
        <v>5911</v>
      </c>
    </row>
    <row r="5797" spans="1:9" x14ac:dyDescent="0.3">
      <c r="A5797" t="s">
        <v>10147</v>
      </c>
      <c r="B5797" t="s">
        <v>39</v>
      </c>
      <c r="C5797">
        <v>7648876604</v>
      </c>
      <c r="D5797" s="2">
        <v>1</v>
      </c>
      <c r="E5797" t="str">
        <f>"4574674200808467"</f>
        <v>4574674200808467</v>
      </c>
      <c r="F5797" t="str">
        <f>"411"</f>
        <v>411</v>
      </c>
      <c r="G5797">
        <v>1</v>
      </c>
      <c r="H5797">
        <v>2023</v>
      </c>
      <c r="I5797" t="s">
        <v>5912</v>
      </c>
    </row>
    <row r="5798" spans="1:9" x14ac:dyDescent="0.3">
      <c r="A5798" t="s">
        <v>10148</v>
      </c>
      <c r="B5798" t="s">
        <v>40</v>
      </c>
      <c r="C5798">
        <v>7648876604</v>
      </c>
      <c r="D5798" s="2">
        <v>1</v>
      </c>
      <c r="E5798" t="str">
        <f>"4574674200808285"</f>
        <v>4574674200808285</v>
      </c>
      <c r="F5798" t="str">
        <f>"948"</f>
        <v>948</v>
      </c>
      <c r="G5798">
        <v>1</v>
      </c>
      <c r="H5798">
        <v>2023</v>
      </c>
      <c r="I5798" t="s">
        <v>5913</v>
      </c>
    </row>
    <row r="5799" spans="1:9" x14ac:dyDescent="0.3">
      <c r="A5799" t="s">
        <v>10148</v>
      </c>
      <c r="B5799" t="s">
        <v>40</v>
      </c>
      <c r="C5799">
        <v>7648876604</v>
      </c>
      <c r="D5799" s="2">
        <v>1</v>
      </c>
      <c r="E5799" t="str">
        <f>"4574674200808293"</f>
        <v>4574674200808293</v>
      </c>
      <c r="F5799" t="str">
        <f>"577"</f>
        <v>577</v>
      </c>
      <c r="G5799">
        <v>1</v>
      </c>
      <c r="H5799">
        <v>2023</v>
      </c>
      <c r="I5799" t="s">
        <v>5914</v>
      </c>
    </row>
    <row r="5800" spans="1:9" x14ac:dyDescent="0.3">
      <c r="A5800" t="s">
        <v>10148</v>
      </c>
      <c r="B5800" t="s">
        <v>40</v>
      </c>
      <c r="C5800">
        <v>7648876604</v>
      </c>
      <c r="D5800" s="2">
        <v>1</v>
      </c>
      <c r="E5800" t="str">
        <f>"4574674200808319"</f>
        <v>4574674200808319</v>
      </c>
      <c r="F5800" t="str">
        <f>"359"</f>
        <v>359</v>
      </c>
      <c r="G5800">
        <v>1</v>
      </c>
      <c r="H5800">
        <v>2023</v>
      </c>
      <c r="I5800" t="s">
        <v>5915</v>
      </c>
    </row>
    <row r="5801" spans="1:9" x14ac:dyDescent="0.3">
      <c r="A5801" t="s">
        <v>10148</v>
      </c>
      <c r="B5801" t="s">
        <v>40</v>
      </c>
      <c r="C5801">
        <v>7648876604</v>
      </c>
      <c r="D5801" s="2">
        <v>1</v>
      </c>
      <c r="E5801" t="str">
        <f>"4574674200808327"</f>
        <v>4574674200808327</v>
      </c>
      <c r="F5801" t="str">
        <f>"302"</f>
        <v>302</v>
      </c>
      <c r="G5801">
        <v>1</v>
      </c>
      <c r="H5801">
        <v>2023</v>
      </c>
      <c r="I5801" t="s">
        <v>5916</v>
      </c>
    </row>
    <row r="5802" spans="1:9" x14ac:dyDescent="0.3">
      <c r="A5802" t="s">
        <v>10148</v>
      </c>
      <c r="B5802" t="s">
        <v>40</v>
      </c>
      <c r="C5802">
        <v>7648876604</v>
      </c>
      <c r="D5802" s="2">
        <v>1</v>
      </c>
      <c r="E5802" t="str">
        <f>"4574674200808566"</f>
        <v>4574674200808566</v>
      </c>
      <c r="F5802" t="str">
        <f>"840"</f>
        <v>840</v>
      </c>
      <c r="G5802">
        <v>1</v>
      </c>
      <c r="H5802">
        <v>2023</v>
      </c>
      <c r="I5802" t="s">
        <v>5917</v>
      </c>
    </row>
    <row r="5803" spans="1:9" x14ac:dyDescent="0.3">
      <c r="A5803" t="s">
        <v>10148</v>
      </c>
      <c r="B5803" t="s">
        <v>40</v>
      </c>
      <c r="C5803">
        <v>7648876604</v>
      </c>
      <c r="D5803" s="2">
        <v>1</v>
      </c>
      <c r="E5803" t="str">
        <f>"4574674200808384"</f>
        <v>4574674200808384</v>
      </c>
      <c r="F5803" t="str">
        <f>"850"</f>
        <v>850</v>
      </c>
      <c r="G5803">
        <v>1</v>
      </c>
      <c r="H5803">
        <v>2023</v>
      </c>
      <c r="I5803" t="s">
        <v>5918</v>
      </c>
    </row>
    <row r="5804" spans="1:9" x14ac:dyDescent="0.3">
      <c r="A5804" t="s">
        <v>10148</v>
      </c>
      <c r="B5804" t="s">
        <v>40</v>
      </c>
      <c r="C5804">
        <v>7648876604</v>
      </c>
      <c r="D5804" s="2">
        <v>1</v>
      </c>
      <c r="E5804" t="str">
        <f>"4574674200808616"</f>
        <v>4574674200808616</v>
      </c>
      <c r="F5804" t="str">
        <f>"432"</f>
        <v>432</v>
      </c>
      <c r="G5804">
        <v>1</v>
      </c>
      <c r="H5804">
        <v>2023</v>
      </c>
      <c r="I5804" t="s">
        <v>5919</v>
      </c>
    </row>
    <row r="5805" spans="1:9" x14ac:dyDescent="0.3">
      <c r="A5805" t="s">
        <v>10148</v>
      </c>
      <c r="B5805" t="s">
        <v>40</v>
      </c>
      <c r="C5805">
        <v>7648876604</v>
      </c>
      <c r="D5805" s="2">
        <v>1</v>
      </c>
      <c r="E5805" t="str">
        <f>"4574674200808814"</f>
        <v>4574674200808814</v>
      </c>
      <c r="F5805" t="str">
        <f>"695"</f>
        <v>695</v>
      </c>
      <c r="G5805">
        <v>1</v>
      </c>
      <c r="H5805">
        <v>2023</v>
      </c>
      <c r="I5805" t="s">
        <v>5920</v>
      </c>
    </row>
    <row r="5806" spans="1:9" x14ac:dyDescent="0.3">
      <c r="A5806" t="s">
        <v>10148</v>
      </c>
      <c r="B5806" t="s">
        <v>40</v>
      </c>
      <c r="C5806">
        <v>7648876604</v>
      </c>
      <c r="D5806" s="2">
        <v>1</v>
      </c>
      <c r="E5806" t="str">
        <f>"4574674200808806"</f>
        <v>4574674200808806</v>
      </c>
      <c r="F5806" t="str">
        <f>"994"</f>
        <v>994</v>
      </c>
      <c r="G5806">
        <v>1</v>
      </c>
      <c r="H5806">
        <v>2023</v>
      </c>
      <c r="I5806" t="s">
        <v>5921</v>
      </c>
    </row>
    <row r="5807" spans="1:9" x14ac:dyDescent="0.3">
      <c r="A5807" t="s">
        <v>10148</v>
      </c>
      <c r="B5807" t="s">
        <v>40</v>
      </c>
      <c r="C5807">
        <v>7648876604</v>
      </c>
      <c r="D5807" s="2">
        <v>1</v>
      </c>
      <c r="E5807" t="str">
        <f>"4574674200808830"</f>
        <v>4574674200808830</v>
      </c>
      <c r="F5807" t="str">
        <f>"004"</f>
        <v>004</v>
      </c>
      <c r="G5807">
        <v>1</v>
      </c>
      <c r="H5807">
        <v>2023</v>
      </c>
      <c r="I5807" t="s">
        <v>5922</v>
      </c>
    </row>
    <row r="5808" spans="1:9" x14ac:dyDescent="0.3">
      <c r="A5808" t="s">
        <v>10149</v>
      </c>
      <c r="B5808" t="s">
        <v>41</v>
      </c>
      <c r="C5808">
        <v>7648876604</v>
      </c>
      <c r="D5808" s="2">
        <v>1</v>
      </c>
      <c r="E5808" t="str">
        <f>"4574674200808749"</f>
        <v>4574674200808749</v>
      </c>
      <c r="F5808" t="str">
        <f>"479"</f>
        <v>479</v>
      </c>
      <c r="G5808">
        <v>1</v>
      </c>
      <c r="H5808">
        <v>2023</v>
      </c>
      <c r="I5808" t="s">
        <v>5923</v>
      </c>
    </row>
    <row r="5809" spans="1:9" x14ac:dyDescent="0.3">
      <c r="A5809" t="s">
        <v>10149</v>
      </c>
      <c r="B5809" t="s">
        <v>41</v>
      </c>
      <c r="C5809">
        <v>7648876604</v>
      </c>
      <c r="D5809" s="2">
        <v>1</v>
      </c>
      <c r="E5809" t="str">
        <f>"4574674200808780"</f>
        <v>4574674200808780</v>
      </c>
      <c r="F5809" t="str">
        <f>"742"</f>
        <v>742</v>
      </c>
      <c r="G5809">
        <v>1</v>
      </c>
      <c r="H5809">
        <v>2023</v>
      </c>
      <c r="I5809" t="s">
        <v>5924</v>
      </c>
    </row>
    <row r="5810" spans="1:9" x14ac:dyDescent="0.3">
      <c r="A5810" t="s">
        <v>10149</v>
      </c>
      <c r="B5810" t="s">
        <v>41</v>
      </c>
      <c r="C5810">
        <v>7648876604</v>
      </c>
      <c r="D5810" s="2">
        <v>1</v>
      </c>
      <c r="E5810" t="str">
        <f>"4574674200808897"</f>
        <v>4574674200808897</v>
      </c>
      <c r="F5810" t="str">
        <f>"107"</f>
        <v>107</v>
      </c>
      <c r="G5810">
        <v>1</v>
      </c>
      <c r="H5810">
        <v>2023</v>
      </c>
      <c r="I5810" t="s">
        <v>5925</v>
      </c>
    </row>
    <row r="5811" spans="1:9" x14ac:dyDescent="0.3">
      <c r="A5811" t="s">
        <v>10149</v>
      </c>
      <c r="B5811" t="s">
        <v>41</v>
      </c>
      <c r="C5811">
        <v>7648876604</v>
      </c>
      <c r="D5811" s="2">
        <v>1</v>
      </c>
      <c r="E5811" t="str">
        <f>"4574674200808871"</f>
        <v>4574674200808871</v>
      </c>
      <c r="F5811" t="str">
        <f>"164"</f>
        <v>164</v>
      </c>
      <c r="G5811">
        <v>1</v>
      </c>
      <c r="H5811">
        <v>2023</v>
      </c>
      <c r="I5811" t="s">
        <v>5926</v>
      </c>
    </row>
    <row r="5812" spans="1:9" x14ac:dyDescent="0.3">
      <c r="A5812" t="s">
        <v>10149</v>
      </c>
      <c r="B5812" t="s">
        <v>41</v>
      </c>
      <c r="C5812">
        <v>7648876604</v>
      </c>
      <c r="D5812" s="2">
        <v>1</v>
      </c>
      <c r="E5812" t="str">
        <f>"4574674200808921"</f>
        <v>4574674200808921</v>
      </c>
      <c r="F5812" t="str">
        <f>"547"</f>
        <v>547</v>
      </c>
      <c r="G5812">
        <v>1</v>
      </c>
      <c r="H5812">
        <v>2023</v>
      </c>
      <c r="I5812" t="s">
        <v>5927</v>
      </c>
    </row>
    <row r="5813" spans="1:9" x14ac:dyDescent="0.3">
      <c r="A5813" t="s">
        <v>10149</v>
      </c>
      <c r="B5813" t="s">
        <v>41</v>
      </c>
      <c r="C5813">
        <v>7648876604</v>
      </c>
      <c r="D5813" s="2">
        <v>1</v>
      </c>
      <c r="E5813" t="str">
        <f>"4574674200808947"</f>
        <v>4574674200808947</v>
      </c>
      <c r="F5813" t="str">
        <f>"536"</f>
        <v>536</v>
      </c>
      <c r="G5813">
        <v>1</v>
      </c>
      <c r="H5813">
        <v>2023</v>
      </c>
      <c r="I5813" t="s">
        <v>5928</v>
      </c>
    </row>
    <row r="5814" spans="1:9" x14ac:dyDescent="0.3">
      <c r="A5814" t="s">
        <v>10149</v>
      </c>
      <c r="B5814" t="s">
        <v>41</v>
      </c>
      <c r="C5814">
        <v>7648876604</v>
      </c>
      <c r="D5814" s="2">
        <v>1</v>
      </c>
      <c r="E5814" t="str">
        <f>"4574674200809143"</f>
        <v>4574674200809143</v>
      </c>
      <c r="F5814" t="str">
        <f>"052"</f>
        <v>052</v>
      </c>
      <c r="G5814">
        <v>1</v>
      </c>
      <c r="H5814">
        <v>2023</v>
      </c>
      <c r="I5814" t="s">
        <v>5929</v>
      </c>
    </row>
    <row r="5815" spans="1:9" x14ac:dyDescent="0.3">
      <c r="A5815" t="s">
        <v>10149</v>
      </c>
      <c r="B5815" t="s">
        <v>41</v>
      </c>
      <c r="C5815">
        <v>7648876604</v>
      </c>
      <c r="D5815" s="2">
        <v>1</v>
      </c>
      <c r="E5815" t="str">
        <f>"4574674200809135"</f>
        <v>4574674200809135</v>
      </c>
      <c r="F5815" t="str">
        <f>"484"</f>
        <v>484</v>
      </c>
      <c r="G5815">
        <v>1</v>
      </c>
      <c r="H5815">
        <v>2023</v>
      </c>
      <c r="I5815" t="s">
        <v>5930</v>
      </c>
    </row>
    <row r="5816" spans="1:9" x14ac:dyDescent="0.3">
      <c r="A5816" t="s">
        <v>10149</v>
      </c>
      <c r="B5816" t="s">
        <v>41</v>
      </c>
      <c r="C5816">
        <v>7648876604</v>
      </c>
      <c r="D5816" s="2">
        <v>1</v>
      </c>
      <c r="E5816" t="str">
        <f>"4574674200808954"</f>
        <v>4574674200808954</v>
      </c>
      <c r="F5816" t="str">
        <f>"387"</f>
        <v>387</v>
      </c>
      <c r="G5816">
        <v>1</v>
      </c>
      <c r="H5816">
        <v>2023</v>
      </c>
      <c r="I5816" t="s">
        <v>5931</v>
      </c>
    </row>
    <row r="5817" spans="1:9" x14ac:dyDescent="0.3">
      <c r="A5817" t="s">
        <v>10149</v>
      </c>
      <c r="B5817" t="s">
        <v>41</v>
      </c>
      <c r="C5817">
        <v>7648876604</v>
      </c>
      <c r="D5817" s="2">
        <v>1</v>
      </c>
      <c r="E5817" t="str">
        <f>"4574674200808996"</f>
        <v>4574674200808996</v>
      </c>
      <c r="F5817" t="str">
        <f>"745"</f>
        <v>745</v>
      </c>
      <c r="G5817">
        <v>1</v>
      </c>
      <c r="H5817">
        <v>2023</v>
      </c>
      <c r="I5817" t="s">
        <v>5932</v>
      </c>
    </row>
    <row r="5818" spans="1:9" x14ac:dyDescent="0.3">
      <c r="A5818" t="s">
        <v>10150</v>
      </c>
      <c r="B5818" t="s">
        <v>42</v>
      </c>
      <c r="C5818">
        <v>7648876604</v>
      </c>
      <c r="D5818" s="2">
        <v>1</v>
      </c>
      <c r="E5818" t="str">
        <f>"4574674200809234"</f>
        <v>4574674200809234</v>
      </c>
      <c r="F5818" t="str">
        <f>"447"</f>
        <v>447</v>
      </c>
      <c r="G5818">
        <v>1</v>
      </c>
      <c r="H5818">
        <v>2023</v>
      </c>
      <c r="I5818" t="s">
        <v>5933</v>
      </c>
    </row>
    <row r="5819" spans="1:9" x14ac:dyDescent="0.3">
      <c r="A5819" t="s">
        <v>10150</v>
      </c>
      <c r="B5819" t="s">
        <v>42</v>
      </c>
      <c r="C5819">
        <v>7648876604</v>
      </c>
      <c r="D5819" s="2">
        <v>1</v>
      </c>
      <c r="E5819" t="str">
        <f>"4574674200809465"</f>
        <v>4574674200809465</v>
      </c>
      <c r="F5819" t="str">
        <f>"456"</f>
        <v>456</v>
      </c>
      <c r="G5819">
        <v>1</v>
      </c>
      <c r="H5819">
        <v>2023</v>
      </c>
      <c r="I5819" t="s">
        <v>5934</v>
      </c>
    </row>
    <row r="5820" spans="1:9" x14ac:dyDescent="0.3">
      <c r="A5820" t="s">
        <v>10150</v>
      </c>
      <c r="B5820" t="s">
        <v>42</v>
      </c>
      <c r="C5820">
        <v>7648876604</v>
      </c>
      <c r="D5820" s="2">
        <v>1</v>
      </c>
      <c r="E5820" t="str">
        <f>"4574674200809473"</f>
        <v>4574674200809473</v>
      </c>
      <c r="F5820" t="str">
        <f>"469"</f>
        <v>469</v>
      </c>
      <c r="G5820">
        <v>1</v>
      </c>
      <c r="H5820">
        <v>2023</v>
      </c>
      <c r="I5820" t="s">
        <v>5935</v>
      </c>
    </row>
    <row r="5821" spans="1:9" x14ac:dyDescent="0.3">
      <c r="A5821" t="s">
        <v>10150</v>
      </c>
      <c r="B5821" t="s">
        <v>42</v>
      </c>
      <c r="C5821">
        <v>7648876604</v>
      </c>
      <c r="D5821" s="2">
        <v>1</v>
      </c>
      <c r="E5821" t="str">
        <f>"4574674200809259"</f>
        <v>4574674200809259</v>
      </c>
      <c r="F5821" t="str">
        <f>"380"</f>
        <v>380</v>
      </c>
      <c r="G5821">
        <v>1</v>
      </c>
      <c r="H5821">
        <v>2023</v>
      </c>
      <c r="I5821" t="s">
        <v>5936</v>
      </c>
    </row>
    <row r="5822" spans="1:9" x14ac:dyDescent="0.3">
      <c r="A5822" t="s">
        <v>10150</v>
      </c>
      <c r="B5822" t="s">
        <v>42</v>
      </c>
      <c r="C5822">
        <v>7648876604</v>
      </c>
      <c r="D5822" s="2">
        <v>1</v>
      </c>
      <c r="E5822" t="str">
        <f>"4574674200809242"</f>
        <v>4574674200809242</v>
      </c>
      <c r="F5822" t="str">
        <f>"218"</f>
        <v>218</v>
      </c>
      <c r="G5822">
        <v>1</v>
      </c>
      <c r="H5822">
        <v>2023</v>
      </c>
      <c r="I5822" t="s">
        <v>5937</v>
      </c>
    </row>
    <row r="5823" spans="1:9" x14ac:dyDescent="0.3">
      <c r="A5823" t="s">
        <v>10150</v>
      </c>
      <c r="B5823" t="s">
        <v>42</v>
      </c>
      <c r="C5823">
        <v>7648876604</v>
      </c>
      <c r="D5823" s="2">
        <v>1</v>
      </c>
      <c r="E5823" t="str">
        <f>"4574674200809556"</f>
        <v>4574674200809556</v>
      </c>
      <c r="F5823" t="str">
        <f>"820"</f>
        <v>820</v>
      </c>
      <c r="G5823">
        <v>1</v>
      </c>
      <c r="H5823">
        <v>2023</v>
      </c>
      <c r="I5823" t="s">
        <v>5938</v>
      </c>
    </row>
    <row r="5824" spans="1:9" x14ac:dyDescent="0.3">
      <c r="A5824" t="s">
        <v>10150</v>
      </c>
      <c r="B5824" t="s">
        <v>42</v>
      </c>
      <c r="C5824">
        <v>7648876604</v>
      </c>
      <c r="D5824" s="2">
        <v>1</v>
      </c>
      <c r="E5824" t="str">
        <f>"4574674200809572"</f>
        <v>4574674200809572</v>
      </c>
      <c r="F5824" t="str">
        <f>"952"</f>
        <v>952</v>
      </c>
      <c r="G5824">
        <v>1</v>
      </c>
      <c r="H5824">
        <v>2023</v>
      </c>
      <c r="I5824" t="s">
        <v>5939</v>
      </c>
    </row>
    <row r="5825" spans="1:9" x14ac:dyDescent="0.3">
      <c r="A5825" t="s">
        <v>10150</v>
      </c>
      <c r="B5825" t="s">
        <v>42</v>
      </c>
      <c r="C5825">
        <v>7648876604</v>
      </c>
      <c r="D5825" s="2">
        <v>1</v>
      </c>
      <c r="E5825" t="str">
        <f>"4574674200809275"</f>
        <v>4574674200809275</v>
      </c>
      <c r="F5825" t="str">
        <f>"075"</f>
        <v>075</v>
      </c>
      <c r="G5825">
        <v>1</v>
      </c>
      <c r="H5825">
        <v>2023</v>
      </c>
      <c r="I5825" t="s">
        <v>5940</v>
      </c>
    </row>
    <row r="5826" spans="1:9" x14ac:dyDescent="0.3">
      <c r="A5826" t="s">
        <v>10150</v>
      </c>
      <c r="B5826" t="s">
        <v>42</v>
      </c>
      <c r="C5826">
        <v>7648876604</v>
      </c>
      <c r="D5826" s="2">
        <v>1</v>
      </c>
      <c r="E5826" t="str">
        <f>"4574674200809341"</f>
        <v>4574674200809341</v>
      </c>
      <c r="F5826" t="str">
        <f>"841"</f>
        <v>841</v>
      </c>
      <c r="G5826">
        <v>1</v>
      </c>
      <c r="H5826">
        <v>2023</v>
      </c>
      <c r="I5826" t="s">
        <v>5941</v>
      </c>
    </row>
    <row r="5827" spans="1:9" x14ac:dyDescent="0.3">
      <c r="A5827" t="s">
        <v>10150</v>
      </c>
      <c r="B5827" t="s">
        <v>42</v>
      </c>
      <c r="C5827">
        <v>7648876604</v>
      </c>
      <c r="D5827" s="2">
        <v>1</v>
      </c>
      <c r="E5827" t="str">
        <f>"4574674200809309"</f>
        <v>4574674200809309</v>
      </c>
      <c r="F5827" t="str">
        <f>"859"</f>
        <v>859</v>
      </c>
      <c r="G5827">
        <v>1</v>
      </c>
      <c r="H5827">
        <v>2023</v>
      </c>
      <c r="I5827" t="s">
        <v>5942</v>
      </c>
    </row>
    <row r="5828" spans="1:9" x14ac:dyDescent="0.3">
      <c r="A5828" t="s">
        <v>10147</v>
      </c>
      <c r="B5828" t="s">
        <v>39</v>
      </c>
      <c r="C5828">
        <v>7648876604</v>
      </c>
      <c r="D5828" s="2">
        <v>1</v>
      </c>
      <c r="E5828" t="str">
        <f>"4574674200809689"</f>
        <v>4574674200809689</v>
      </c>
      <c r="F5828" t="str">
        <f>"986"</f>
        <v>986</v>
      </c>
      <c r="G5828">
        <v>1</v>
      </c>
      <c r="H5828">
        <v>2023</v>
      </c>
      <c r="I5828" t="s">
        <v>5943</v>
      </c>
    </row>
    <row r="5829" spans="1:9" x14ac:dyDescent="0.3">
      <c r="A5829" t="s">
        <v>10147</v>
      </c>
      <c r="B5829" t="s">
        <v>39</v>
      </c>
      <c r="C5829">
        <v>7648876604</v>
      </c>
      <c r="D5829" s="2">
        <v>1</v>
      </c>
      <c r="E5829" t="str">
        <f>"4574674200809713"</f>
        <v>4574674200809713</v>
      </c>
      <c r="F5829" t="str">
        <f>"548"</f>
        <v>548</v>
      </c>
      <c r="G5829">
        <v>1</v>
      </c>
      <c r="H5829">
        <v>2023</v>
      </c>
      <c r="I5829" t="s">
        <v>5944</v>
      </c>
    </row>
    <row r="5830" spans="1:9" x14ac:dyDescent="0.3">
      <c r="A5830" t="s">
        <v>10147</v>
      </c>
      <c r="B5830" t="s">
        <v>39</v>
      </c>
      <c r="C5830">
        <v>7648876604</v>
      </c>
      <c r="D5830" s="2">
        <v>1</v>
      </c>
      <c r="E5830" t="str">
        <f>"4574674200809366"</f>
        <v>4574674200809366</v>
      </c>
      <c r="F5830" t="str">
        <f>"314"</f>
        <v>314</v>
      </c>
      <c r="G5830">
        <v>1</v>
      </c>
      <c r="H5830">
        <v>2023</v>
      </c>
      <c r="I5830" t="s">
        <v>5945</v>
      </c>
    </row>
    <row r="5831" spans="1:9" x14ac:dyDescent="0.3">
      <c r="A5831" t="s">
        <v>10147</v>
      </c>
      <c r="B5831" t="s">
        <v>39</v>
      </c>
      <c r="C5831">
        <v>7648876604</v>
      </c>
      <c r="D5831" s="2">
        <v>1</v>
      </c>
      <c r="E5831" t="str">
        <f>"4574674200809374"</f>
        <v>4574674200809374</v>
      </c>
      <c r="F5831" t="str">
        <f>"933"</f>
        <v>933</v>
      </c>
      <c r="G5831">
        <v>1</v>
      </c>
      <c r="H5831">
        <v>2023</v>
      </c>
      <c r="I5831" t="s">
        <v>5946</v>
      </c>
    </row>
    <row r="5832" spans="1:9" x14ac:dyDescent="0.3">
      <c r="A5832" t="s">
        <v>10147</v>
      </c>
      <c r="B5832" t="s">
        <v>39</v>
      </c>
      <c r="C5832">
        <v>7648876604</v>
      </c>
      <c r="D5832" s="2">
        <v>1</v>
      </c>
      <c r="E5832" t="str">
        <f>"4574674200809861"</f>
        <v>4574674200809861</v>
      </c>
      <c r="F5832" t="str">
        <f>"106"</f>
        <v>106</v>
      </c>
      <c r="G5832">
        <v>1</v>
      </c>
      <c r="H5832">
        <v>2023</v>
      </c>
      <c r="I5832" t="s">
        <v>5947</v>
      </c>
    </row>
    <row r="5833" spans="1:9" x14ac:dyDescent="0.3">
      <c r="A5833" t="s">
        <v>10147</v>
      </c>
      <c r="B5833" t="s">
        <v>39</v>
      </c>
      <c r="C5833">
        <v>7648876604</v>
      </c>
      <c r="D5833" s="2">
        <v>1</v>
      </c>
      <c r="E5833" t="str">
        <f>"4574674200809929"</f>
        <v>4574674200809929</v>
      </c>
      <c r="F5833" t="str">
        <f>"691"</f>
        <v>691</v>
      </c>
      <c r="G5833">
        <v>1</v>
      </c>
      <c r="H5833">
        <v>2023</v>
      </c>
      <c r="I5833" t="s">
        <v>5948</v>
      </c>
    </row>
    <row r="5834" spans="1:9" x14ac:dyDescent="0.3">
      <c r="A5834" t="s">
        <v>10147</v>
      </c>
      <c r="B5834" t="s">
        <v>39</v>
      </c>
      <c r="C5834">
        <v>7648876604</v>
      </c>
      <c r="D5834" s="2">
        <v>1</v>
      </c>
      <c r="E5834" t="str">
        <f>"4574674200810000"</f>
        <v>4574674200810000</v>
      </c>
      <c r="F5834" t="str">
        <f>"365"</f>
        <v>365</v>
      </c>
      <c r="G5834">
        <v>1</v>
      </c>
      <c r="H5834">
        <v>2023</v>
      </c>
      <c r="I5834" t="s">
        <v>5949</v>
      </c>
    </row>
    <row r="5835" spans="1:9" x14ac:dyDescent="0.3">
      <c r="A5835" t="s">
        <v>10147</v>
      </c>
      <c r="B5835" t="s">
        <v>39</v>
      </c>
      <c r="C5835">
        <v>7648876604</v>
      </c>
      <c r="D5835" s="2">
        <v>1</v>
      </c>
      <c r="E5835" t="str">
        <f>"4574674200810059"</f>
        <v>4574674200810059</v>
      </c>
      <c r="F5835" t="str">
        <f>"566"</f>
        <v>566</v>
      </c>
      <c r="G5835">
        <v>1</v>
      </c>
      <c r="H5835">
        <v>2023</v>
      </c>
      <c r="I5835" t="s">
        <v>5950</v>
      </c>
    </row>
    <row r="5836" spans="1:9" x14ac:dyDescent="0.3">
      <c r="A5836" t="s">
        <v>10147</v>
      </c>
      <c r="B5836" t="s">
        <v>39</v>
      </c>
      <c r="C5836">
        <v>7648876604</v>
      </c>
      <c r="D5836" s="2">
        <v>1</v>
      </c>
      <c r="E5836" t="str">
        <f>"4574674200810075"</f>
        <v>4574674200810075</v>
      </c>
      <c r="F5836" t="str">
        <f>"681"</f>
        <v>681</v>
      </c>
      <c r="G5836">
        <v>1</v>
      </c>
      <c r="H5836">
        <v>2023</v>
      </c>
      <c r="I5836" t="s">
        <v>5951</v>
      </c>
    </row>
    <row r="5837" spans="1:9" x14ac:dyDescent="0.3">
      <c r="A5837" t="s">
        <v>10147</v>
      </c>
      <c r="B5837" t="s">
        <v>39</v>
      </c>
      <c r="C5837">
        <v>7648876604</v>
      </c>
      <c r="D5837" s="2">
        <v>1</v>
      </c>
      <c r="E5837" t="str">
        <f>"4574674200810091"</f>
        <v>4574674200810091</v>
      </c>
      <c r="F5837" t="str">
        <f>"277"</f>
        <v>277</v>
      </c>
      <c r="G5837">
        <v>1</v>
      </c>
      <c r="H5837">
        <v>2023</v>
      </c>
      <c r="I5837" t="s">
        <v>5952</v>
      </c>
    </row>
    <row r="5838" spans="1:9" x14ac:dyDescent="0.3">
      <c r="A5838" t="s">
        <v>10148</v>
      </c>
      <c r="B5838" t="s">
        <v>40</v>
      </c>
      <c r="C5838">
        <v>7648876604</v>
      </c>
      <c r="D5838" s="2">
        <v>1</v>
      </c>
      <c r="E5838" t="str">
        <f>"4574674200810083"</f>
        <v>4574674200810083</v>
      </c>
      <c r="F5838" t="str">
        <f>"537"</f>
        <v>537</v>
      </c>
      <c r="G5838">
        <v>1</v>
      </c>
      <c r="H5838">
        <v>2023</v>
      </c>
      <c r="I5838" t="s">
        <v>5953</v>
      </c>
    </row>
    <row r="5839" spans="1:9" x14ac:dyDescent="0.3">
      <c r="A5839" t="s">
        <v>10148</v>
      </c>
      <c r="B5839" t="s">
        <v>40</v>
      </c>
      <c r="C5839">
        <v>7648876604</v>
      </c>
      <c r="D5839" s="2">
        <v>1</v>
      </c>
      <c r="E5839" t="str">
        <f>"4574674200810257"</f>
        <v>4574674200810257</v>
      </c>
      <c r="F5839" t="str">
        <f>"375"</f>
        <v>375</v>
      </c>
      <c r="G5839">
        <v>1</v>
      </c>
      <c r="H5839">
        <v>2023</v>
      </c>
      <c r="I5839" t="s">
        <v>5954</v>
      </c>
    </row>
    <row r="5840" spans="1:9" x14ac:dyDescent="0.3">
      <c r="A5840" t="s">
        <v>10148</v>
      </c>
      <c r="B5840" t="s">
        <v>40</v>
      </c>
      <c r="C5840">
        <v>7648876604</v>
      </c>
      <c r="D5840" s="2">
        <v>1</v>
      </c>
      <c r="E5840" t="str">
        <f>"4574674200810265"</f>
        <v>4574674200810265</v>
      </c>
      <c r="F5840" t="str">
        <f>"242"</f>
        <v>242</v>
      </c>
      <c r="G5840">
        <v>1</v>
      </c>
      <c r="H5840">
        <v>2023</v>
      </c>
      <c r="I5840" t="s">
        <v>5955</v>
      </c>
    </row>
    <row r="5841" spans="1:9" x14ac:dyDescent="0.3">
      <c r="A5841" t="s">
        <v>10148</v>
      </c>
      <c r="B5841" t="s">
        <v>40</v>
      </c>
      <c r="C5841">
        <v>7648876604</v>
      </c>
      <c r="D5841" s="2">
        <v>1</v>
      </c>
      <c r="E5841" t="str">
        <f>"4574674200810117"</f>
        <v>4574674200810117</v>
      </c>
      <c r="F5841" t="str">
        <f>"297"</f>
        <v>297</v>
      </c>
      <c r="G5841">
        <v>1</v>
      </c>
      <c r="H5841">
        <v>2023</v>
      </c>
      <c r="I5841" t="s">
        <v>5956</v>
      </c>
    </row>
    <row r="5842" spans="1:9" x14ac:dyDescent="0.3">
      <c r="A5842" t="s">
        <v>10148</v>
      </c>
      <c r="B5842" t="s">
        <v>40</v>
      </c>
      <c r="C5842">
        <v>7648876604</v>
      </c>
      <c r="D5842" s="2">
        <v>1</v>
      </c>
      <c r="E5842" t="str">
        <f>"4574674200810141"</f>
        <v>4574674200810141</v>
      </c>
      <c r="F5842" t="str">
        <f>"786"</f>
        <v>786</v>
      </c>
      <c r="G5842">
        <v>1</v>
      </c>
      <c r="H5842">
        <v>2023</v>
      </c>
      <c r="I5842" t="s">
        <v>5957</v>
      </c>
    </row>
    <row r="5843" spans="1:9" x14ac:dyDescent="0.3">
      <c r="A5843" t="s">
        <v>10148</v>
      </c>
      <c r="B5843" t="s">
        <v>40</v>
      </c>
      <c r="C5843">
        <v>7648876604</v>
      </c>
      <c r="D5843" s="2">
        <v>1</v>
      </c>
      <c r="E5843" t="str">
        <f>"4574674200810430"</f>
        <v>4574674200810430</v>
      </c>
      <c r="F5843" t="str">
        <f>"650"</f>
        <v>650</v>
      </c>
      <c r="G5843">
        <v>1</v>
      </c>
      <c r="H5843">
        <v>2023</v>
      </c>
      <c r="I5843" t="s">
        <v>5958</v>
      </c>
    </row>
    <row r="5844" spans="1:9" x14ac:dyDescent="0.3">
      <c r="A5844" t="s">
        <v>10148</v>
      </c>
      <c r="B5844" t="s">
        <v>40</v>
      </c>
      <c r="C5844">
        <v>7648876604</v>
      </c>
      <c r="D5844" s="2">
        <v>1</v>
      </c>
      <c r="E5844" t="str">
        <f>"4574674200810190"</f>
        <v>4574674200810190</v>
      </c>
      <c r="F5844" t="str">
        <f>"867"</f>
        <v>867</v>
      </c>
      <c r="G5844">
        <v>1</v>
      </c>
      <c r="H5844">
        <v>2023</v>
      </c>
      <c r="I5844" t="s">
        <v>5959</v>
      </c>
    </row>
    <row r="5845" spans="1:9" x14ac:dyDescent="0.3">
      <c r="A5845" t="s">
        <v>10148</v>
      </c>
      <c r="B5845" t="s">
        <v>40</v>
      </c>
      <c r="C5845">
        <v>7648876604</v>
      </c>
      <c r="D5845" s="2">
        <v>1</v>
      </c>
      <c r="E5845" t="str">
        <f>"4574674200810455"</f>
        <v>4574674200810455</v>
      </c>
      <c r="F5845" t="str">
        <f>"699"</f>
        <v>699</v>
      </c>
      <c r="G5845">
        <v>1</v>
      </c>
      <c r="H5845">
        <v>2023</v>
      </c>
      <c r="I5845" t="s">
        <v>5960</v>
      </c>
    </row>
    <row r="5846" spans="1:9" x14ac:dyDescent="0.3">
      <c r="A5846" t="s">
        <v>10148</v>
      </c>
      <c r="B5846" t="s">
        <v>40</v>
      </c>
      <c r="C5846">
        <v>7648876604</v>
      </c>
      <c r="D5846" s="2">
        <v>1</v>
      </c>
      <c r="E5846" t="str">
        <f>"4574674200810604"</f>
        <v>4574674200810604</v>
      </c>
      <c r="F5846" t="str">
        <f>"384"</f>
        <v>384</v>
      </c>
      <c r="G5846">
        <v>1</v>
      </c>
      <c r="H5846">
        <v>2023</v>
      </c>
      <c r="I5846" t="s">
        <v>5961</v>
      </c>
    </row>
    <row r="5847" spans="1:9" x14ac:dyDescent="0.3">
      <c r="A5847" t="s">
        <v>10148</v>
      </c>
      <c r="B5847" t="s">
        <v>40</v>
      </c>
      <c r="C5847">
        <v>7648876604</v>
      </c>
      <c r="D5847" s="2">
        <v>1</v>
      </c>
      <c r="E5847" t="str">
        <f>"4574674200810612"</f>
        <v>4574674200810612</v>
      </c>
      <c r="F5847" t="str">
        <f>"996"</f>
        <v>996</v>
      </c>
      <c r="G5847">
        <v>1</v>
      </c>
      <c r="H5847">
        <v>2023</v>
      </c>
      <c r="I5847" t="s">
        <v>5962</v>
      </c>
    </row>
    <row r="5848" spans="1:9" x14ac:dyDescent="0.3">
      <c r="A5848" t="s">
        <v>10149</v>
      </c>
      <c r="B5848" t="s">
        <v>41</v>
      </c>
      <c r="C5848">
        <v>7648876604</v>
      </c>
      <c r="D5848" s="2">
        <v>1</v>
      </c>
      <c r="E5848" t="str">
        <f>"4574674200810810"</f>
        <v>4574674200810810</v>
      </c>
      <c r="F5848" t="str">
        <f>"792"</f>
        <v>792</v>
      </c>
      <c r="G5848">
        <v>1</v>
      </c>
      <c r="H5848">
        <v>2023</v>
      </c>
      <c r="I5848" t="s">
        <v>5963</v>
      </c>
    </row>
    <row r="5849" spans="1:9" x14ac:dyDescent="0.3">
      <c r="A5849" t="s">
        <v>10149</v>
      </c>
      <c r="B5849" t="s">
        <v>41</v>
      </c>
      <c r="C5849">
        <v>7648876604</v>
      </c>
      <c r="D5849" s="2">
        <v>1</v>
      </c>
      <c r="E5849" t="str">
        <f>"4574674200810828"</f>
        <v>4574674200810828</v>
      </c>
      <c r="F5849" t="str">
        <f>"984"</f>
        <v>984</v>
      </c>
      <c r="G5849">
        <v>1</v>
      </c>
      <c r="H5849">
        <v>2023</v>
      </c>
      <c r="I5849" t="s">
        <v>5964</v>
      </c>
    </row>
    <row r="5850" spans="1:9" x14ac:dyDescent="0.3">
      <c r="A5850" t="s">
        <v>10149</v>
      </c>
      <c r="B5850" t="s">
        <v>41</v>
      </c>
      <c r="C5850">
        <v>7648876604</v>
      </c>
      <c r="D5850" s="2">
        <v>1</v>
      </c>
      <c r="E5850" t="str">
        <f>"4574674200810646"</f>
        <v>4574674200810646</v>
      </c>
      <c r="F5850" t="str">
        <f>"332"</f>
        <v>332</v>
      </c>
      <c r="G5850">
        <v>1</v>
      </c>
      <c r="H5850">
        <v>2023</v>
      </c>
      <c r="I5850" t="s">
        <v>5965</v>
      </c>
    </row>
    <row r="5851" spans="1:9" x14ac:dyDescent="0.3">
      <c r="A5851" t="s">
        <v>10149</v>
      </c>
      <c r="B5851" t="s">
        <v>41</v>
      </c>
      <c r="C5851">
        <v>7648876604</v>
      </c>
      <c r="D5851" s="2">
        <v>1</v>
      </c>
      <c r="E5851" t="str">
        <f>"4574674200810687"</f>
        <v>4574674200810687</v>
      </c>
      <c r="F5851" t="str">
        <f>"504"</f>
        <v>504</v>
      </c>
      <c r="G5851">
        <v>1</v>
      </c>
      <c r="H5851">
        <v>2023</v>
      </c>
      <c r="I5851" t="s">
        <v>5966</v>
      </c>
    </row>
    <row r="5852" spans="1:9" x14ac:dyDescent="0.3">
      <c r="A5852" t="s">
        <v>10149</v>
      </c>
      <c r="B5852" t="s">
        <v>41</v>
      </c>
      <c r="C5852">
        <v>7648876604</v>
      </c>
      <c r="D5852" s="2">
        <v>1</v>
      </c>
      <c r="E5852" t="str">
        <f>"4574674200810711"</f>
        <v>4574674200810711</v>
      </c>
      <c r="F5852" t="str">
        <f>"998"</f>
        <v>998</v>
      </c>
      <c r="G5852">
        <v>1</v>
      </c>
      <c r="H5852">
        <v>2023</v>
      </c>
      <c r="I5852" t="s">
        <v>5967</v>
      </c>
    </row>
    <row r="5853" spans="1:9" x14ac:dyDescent="0.3">
      <c r="A5853" t="s">
        <v>10149</v>
      </c>
      <c r="B5853" t="s">
        <v>41</v>
      </c>
      <c r="C5853">
        <v>7648876604</v>
      </c>
      <c r="D5853" s="2">
        <v>1</v>
      </c>
      <c r="E5853" t="str">
        <f>"4574674200810729"</f>
        <v>4574674200810729</v>
      </c>
      <c r="F5853" t="str">
        <f>"248"</f>
        <v>248</v>
      </c>
      <c r="G5853">
        <v>1</v>
      </c>
      <c r="H5853">
        <v>2023</v>
      </c>
      <c r="I5853" t="s">
        <v>5968</v>
      </c>
    </row>
    <row r="5854" spans="1:9" x14ac:dyDescent="0.3">
      <c r="A5854" t="s">
        <v>10149</v>
      </c>
      <c r="B5854" t="s">
        <v>41</v>
      </c>
      <c r="C5854">
        <v>7648876604</v>
      </c>
      <c r="D5854" s="2">
        <v>1</v>
      </c>
      <c r="E5854" t="str">
        <f>"4574674200810737"</f>
        <v>4574674200810737</v>
      </c>
      <c r="F5854" t="str">
        <f>"372"</f>
        <v>372</v>
      </c>
      <c r="G5854">
        <v>1</v>
      </c>
      <c r="H5854">
        <v>2023</v>
      </c>
      <c r="I5854" t="s">
        <v>5969</v>
      </c>
    </row>
    <row r="5855" spans="1:9" x14ac:dyDescent="0.3">
      <c r="A5855" t="s">
        <v>10149</v>
      </c>
      <c r="B5855" t="s">
        <v>41</v>
      </c>
      <c r="C5855">
        <v>7648876604</v>
      </c>
      <c r="D5855" s="2">
        <v>1</v>
      </c>
      <c r="E5855" t="str">
        <f>"4574674200810992"</f>
        <v>4574674200810992</v>
      </c>
      <c r="F5855" t="str">
        <f>"354"</f>
        <v>354</v>
      </c>
      <c r="G5855">
        <v>1</v>
      </c>
      <c r="H5855">
        <v>2023</v>
      </c>
      <c r="I5855" t="s">
        <v>5970</v>
      </c>
    </row>
    <row r="5856" spans="1:9" x14ac:dyDescent="0.3">
      <c r="A5856" t="s">
        <v>10149</v>
      </c>
      <c r="B5856" t="s">
        <v>41</v>
      </c>
      <c r="C5856">
        <v>7648876604</v>
      </c>
      <c r="D5856" s="2">
        <v>1</v>
      </c>
      <c r="E5856" t="str">
        <f>"4574674200810984"</f>
        <v>4574674200810984</v>
      </c>
      <c r="F5856" t="str">
        <f>"199"</f>
        <v>199</v>
      </c>
      <c r="G5856">
        <v>1</v>
      </c>
      <c r="H5856">
        <v>2023</v>
      </c>
      <c r="I5856" t="s">
        <v>5971</v>
      </c>
    </row>
    <row r="5857" spans="1:9" x14ac:dyDescent="0.3">
      <c r="A5857" t="s">
        <v>10149</v>
      </c>
      <c r="B5857" t="s">
        <v>41</v>
      </c>
      <c r="C5857">
        <v>7648876604</v>
      </c>
      <c r="D5857" s="2">
        <v>1</v>
      </c>
      <c r="E5857" t="str">
        <f>"4574674200810752"</f>
        <v>4574674200810752</v>
      </c>
      <c r="F5857" t="str">
        <f>"224"</f>
        <v>224</v>
      </c>
      <c r="G5857">
        <v>1</v>
      </c>
      <c r="H5857">
        <v>2023</v>
      </c>
      <c r="I5857" t="s">
        <v>5972</v>
      </c>
    </row>
    <row r="5858" spans="1:9" x14ac:dyDescent="0.3">
      <c r="A5858" t="s">
        <v>10150</v>
      </c>
      <c r="B5858" t="s">
        <v>42</v>
      </c>
      <c r="C5858">
        <v>7648876604</v>
      </c>
      <c r="D5858" s="2">
        <v>1</v>
      </c>
      <c r="E5858" t="str">
        <f>"4574674200811123"</f>
        <v>4574674200811123</v>
      </c>
      <c r="F5858" t="str">
        <f>"441"</f>
        <v>441</v>
      </c>
      <c r="G5858">
        <v>1</v>
      </c>
      <c r="H5858">
        <v>2023</v>
      </c>
      <c r="I5858" t="s">
        <v>5973</v>
      </c>
    </row>
    <row r="5859" spans="1:9" x14ac:dyDescent="0.3">
      <c r="A5859" t="s">
        <v>10150</v>
      </c>
      <c r="B5859" t="s">
        <v>42</v>
      </c>
      <c r="C5859">
        <v>7648876604</v>
      </c>
      <c r="D5859" s="2">
        <v>1</v>
      </c>
      <c r="E5859" t="str">
        <f>"4574674200811214"</f>
        <v>4574674200811214</v>
      </c>
      <c r="F5859" t="str">
        <f>"074"</f>
        <v>074</v>
      </c>
      <c r="G5859">
        <v>1</v>
      </c>
      <c r="H5859">
        <v>2023</v>
      </c>
      <c r="I5859" t="s">
        <v>5974</v>
      </c>
    </row>
    <row r="5860" spans="1:9" x14ac:dyDescent="0.3">
      <c r="A5860" t="s">
        <v>10150</v>
      </c>
      <c r="B5860" t="s">
        <v>42</v>
      </c>
      <c r="C5860">
        <v>7648876604</v>
      </c>
      <c r="D5860" s="2">
        <v>1</v>
      </c>
      <c r="E5860" t="str">
        <f>"4574674200811164"</f>
        <v>4574674200811164</v>
      </c>
      <c r="F5860" t="str">
        <f>"153"</f>
        <v>153</v>
      </c>
      <c r="G5860">
        <v>1</v>
      </c>
      <c r="H5860">
        <v>2023</v>
      </c>
      <c r="I5860" t="s">
        <v>5975</v>
      </c>
    </row>
    <row r="5861" spans="1:9" x14ac:dyDescent="0.3">
      <c r="A5861" t="s">
        <v>10150</v>
      </c>
      <c r="B5861" t="s">
        <v>42</v>
      </c>
      <c r="C5861">
        <v>7648876604</v>
      </c>
      <c r="D5861" s="2">
        <v>1</v>
      </c>
      <c r="E5861" t="str">
        <f>"4574674200811230"</f>
        <v>4574674200811230</v>
      </c>
      <c r="F5861" t="str">
        <f>"092"</f>
        <v>092</v>
      </c>
      <c r="G5861">
        <v>1</v>
      </c>
      <c r="H5861">
        <v>2023</v>
      </c>
      <c r="I5861" t="s">
        <v>5976</v>
      </c>
    </row>
    <row r="5862" spans="1:9" x14ac:dyDescent="0.3">
      <c r="A5862" t="s">
        <v>10150</v>
      </c>
      <c r="B5862" t="s">
        <v>42</v>
      </c>
      <c r="C5862">
        <v>7648876604</v>
      </c>
      <c r="D5862" s="2">
        <v>1</v>
      </c>
      <c r="E5862" t="str">
        <f>"4574674200811255"</f>
        <v>4574674200811255</v>
      </c>
      <c r="F5862" t="str">
        <f>"620"</f>
        <v>620</v>
      </c>
      <c r="G5862">
        <v>1</v>
      </c>
      <c r="H5862">
        <v>2023</v>
      </c>
      <c r="I5862" t="s">
        <v>5977</v>
      </c>
    </row>
    <row r="5863" spans="1:9" x14ac:dyDescent="0.3">
      <c r="A5863" t="s">
        <v>10150</v>
      </c>
      <c r="B5863" t="s">
        <v>42</v>
      </c>
      <c r="C5863">
        <v>7648876604</v>
      </c>
      <c r="D5863" s="2">
        <v>1</v>
      </c>
      <c r="E5863" t="str">
        <f>"4574674200811511"</f>
        <v>4574674200811511</v>
      </c>
      <c r="F5863" t="str">
        <f>"990"</f>
        <v>990</v>
      </c>
      <c r="G5863">
        <v>1</v>
      </c>
      <c r="H5863">
        <v>2023</v>
      </c>
      <c r="I5863" t="s">
        <v>5978</v>
      </c>
    </row>
    <row r="5864" spans="1:9" x14ac:dyDescent="0.3">
      <c r="A5864" t="s">
        <v>10150</v>
      </c>
      <c r="B5864" t="s">
        <v>42</v>
      </c>
      <c r="C5864">
        <v>7648876604</v>
      </c>
      <c r="D5864" s="2">
        <v>1</v>
      </c>
      <c r="E5864" t="str">
        <f>"4574674200811537"</f>
        <v>4574674200811537</v>
      </c>
      <c r="F5864" t="str">
        <f>"795"</f>
        <v>795</v>
      </c>
      <c r="G5864">
        <v>1</v>
      </c>
      <c r="H5864">
        <v>2023</v>
      </c>
      <c r="I5864" t="s">
        <v>5979</v>
      </c>
    </row>
    <row r="5865" spans="1:9" x14ac:dyDescent="0.3">
      <c r="A5865" t="s">
        <v>10150</v>
      </c>
      <c r="B5865" t="s">
        <v>42</v>
      </c>
      <c r="C5865">
        <v>7648876604</v>
      </c>
      <c r="D5865" s="2">
        <v>1</v>
      </c>
      <c r="E5865" t="str">
        <f>"4574674200811651"</f>
        <v>4574674200811651</v>
      </c>
      <c r="F5865" t="str">
        <f>"223"</f>
        <v>223</v>
      </c>
      <c r="G5865">
        <v>1</v>
      </c>
      <c r="H5865">
        <v>2023</v>
      </c>
      <c r="I5865" t="s">
        <v>5980</v>
      </c>
    </row>
    <row r="5866" spans="1:9" x14ac:dyDescent="0.3">
      <c r="A5866" t="s">
        <v>10150</v>
      </c>
      <c r="B5866" t="s">
        <v>42</v>
      </c>
      <c r="C5866">
        <v>7648876604</v>
      </c>
      <c r="D5866" s="2">
        <v>1</v>
      </c>
      <c r="E5866" t="str">
        <f>"4574674200811693"</f>
        <v>4574674200811693</v>
      </c>
      <c r="F5866" t="str">
        <f>"861"</f>
        <v>861</v>
      </c>
      <c r="G5866">
        <v>1</v>
      </c>
      <c r="H5866">
        <v>2023</v>
      </c>
      <c r="I5866" t="s">
        <v>5981</v>
      </c>
    </row>
    <row r="5867" spans="1:9" x14ac:dyDescent="0.3">
      <c r="A5867" t="s">
        <v>10150</v>
      </c>
      <c r="B5867" t="s">
        <v>42</v>
      </c>
      <c r="C5867">
        <v>7648876604</v>
      </c>
      <c r="D5867" s="2">
        <v>1</v>
      </c>
      <c r="E5867" t="str">
        <f>"4574674200811859"</f>
        <v>4574674200811859</v>
      </c>
      <c r="F5867" t="str">
        <f>"432"</f>
        <v>432</v>
      </c>
      <c r="G5867">
        <v>1</v>
      </c>
      <c r="H5867">
        <v>2023</v>
      </c>
      <c r="I5867" t="s">
        <v>5982</v>
      </c>
    </row>
    <row r="5868" spans="1:9" x14ac:dyDescent="0.3">
      <c r="A5868" t="s">
        <v>10151</v>
      </c>
      <c r="B5868" t="s">
        <v>43</v>
      </c>
      <c r="C5868">
        <v>7648876604</v>
      </c>
      <c r="D5868" s="2">
        <v>1</v>
      </c>
      <c r="E5868" t="str">
        <f>"4574674200811842"</f>
        <v>4574674200811842</v>
      </c>
      <c r="F5868" t="str">
        <f>"605"</f>
        <v>605</v>
      </c>
      <c r="G5868">
        <v>1</v>
      </c>
      <c r="H5868">
        <v>2023</v>
      </c>
      <c r="I5868" t="s">
        <v>5983</v>
      </c>
    </row>
    <row r="5869" spans="1:9" x14ac:dyDescent="0.3">
      <c r="A5869" t="s">
        <v>10151</v>
      </c>
      <c r="B5869" t="s">
        <v>43</v>
      </c>
      <c r="C5869">
        <v>7648876604</v>
      </c>
      <c r="D5869" s="2">
        <v>1</v>
      </c>
      <c r="E5869" t="str">
        <f>"4574674200811396"</f>
        <v>4574674200811396</v>
      </c>
      <c r="F5869" t="str">
        <f>"468"</f>
        <v>468</v>
      </c>
      <c r="G5869">
        <v>1</v>
      </c>
      <c r="H5869">
        <v>2023</v>
      </c>
      <c r="I5869" t="s">
        <v>5984</v>
      </c>
    </row>
    <row r="5870" spans="1:9" x14ac:dyDescent="0.3">
      <c r="A5870" t="s">
        <v>10151</v>
      </c>
      <c r="B5870" t="s">
        <v>43</v>
      </c>
      <c r="C5870">
        <v>7648876604</v>
      </c>
      <c r="D5870" s="2">
        <v>1</v>
      </c>
      <c r="E5870" t="str">
        <f>"4574674200812048"</f>
        <v>4574674200812048</v>
      </c>
      <c r="F5870" t="str">
        <f>"991"</f>
        <v>991</v>
      </c>
      <c r="G5870">
        <v>1</v>
      </c>
      <c r="H5870">
        <v>2023</v>
      </c>
      <c r="I5870" t="s">
        <v>5985</v>
      </c>
    </row>
    <row r="5871" spans="1:9" x14ac:dyDescent="0.3">
      <c r="A5871" t="s">
        <v>10151</v>
      </c>
      <c r="B5871" t="s">
        <v>43</v>
      </c>
      <c r="C5871">
        <v>7648876604</v>
      </c>
      <c r="D5871" s="2">
        <v>1</v>
      </c>
      <c r="E5871" t="str">
        <f>"4574674200812055"</f>
        <v>4574674200812055</v>
      </c>
      <c r="F5871" t="str">
        <f>"252"</f>
        <v>252</v>
      </c>
      <c r="G5871">
        <v>1</v>
      </c>
      <c r="H5871">
        <v>2023</v>
      </c>
      <c r="I5871" t="s">
        <v>5986</v>
      </c>
    </row>
    <row r="5872" spans="1:9" x14ac:dyDescent="0.3">
      <c r="A5872" t="s">
        <v>10151</v>
      </c>
      <c r="B5872" t="s">
        <v>43</v>
      </c>
      <c r="C5872">
        <v>7648876604</v>
      </c>
      <c r="D5872" s="2">
        <v>1</v>
      </c>
      <c r="E5872" t="str">
        <f>"4574674200812071"</f>
        <v>4574674200812071</v>
      </c>
      <c r="F5872" t="str">
        <f>"192"</f>
        <v>192</v>
      </c>
      <c r="G5872">
        <v>1</v>
      </c>
      <c r="H5872">
        <v>2023</v>
      </c>
      <c r="I5872" t="s">
        <v>5987</v>
      </c>
    </row>
    <row r="5873" spans="1:9" x14ac:dyDescent="0.3">
      <c r="A5873" t="s">
        <v>10151</v>
      </c>
      <c r="B5873" t="s">
        <v>43</v>
      </c>
      <c r="C5873">
        <v>7648876604</v>
      </c>
      <c r="D5873" s="2">
        <v>1</v>
      </c>
      <c r="E5873" t="str">
        <f>"4574674200812097"</f>
        <v>4574674200812097</v>
      </c>
      <c r="F5873" t="str">
        <f>"915"</f>
        <v>915</v>
      </c>
      <c r="G5873">
        <v>1</v>
      </c>
      <c r="H5873">
        <v>2023</v>
      </c>
      <c r="I5873" t="s">
        <v>5988</v>
      </c>
    </row>
    <row r="5874" spans="1:9" x14ac:dyDescent="0.3">
      <c r="A5874" t="s">
        <v>10151</v>
      </c>
      <c r="B5874" t="s">
        <v>43</v>
      </c>
      <c r="C5874">
        <v>7648876604</v>
      </c>
      <c r="D5874" s="2">
        <v>1</v>
      </c>
      <c r="E5874" t="str">
        <f>"4574674200812204"</f>
        <v>4574674200812204</v>
      </c>
      <c r="F5874" t="str">
        <f>"149"</f>
        <v>149</v>
      </c>
      <c r="G5874">
        <v>1</v>
      </c>
      <c r="H5874">
        <v>2023</v>
      </c>
      <c r="I5874" t="s">
        <v>5989</v>
      </c>
    </row>
    <row r="5875" spans="1:9" x14ac:dyDescent="0.3">
      <c r="A5875" t="s">
        <v>10151</v>
      </c>
      <c r="B5875" t="s">
        <v>43</v>
      </c>
      <c r="C5875">
        <v>7648876604</v>
      </c>
      <c r="D5875" s="2">
        <v>1</v>
      </c>
      <c r="E5875" t="str">
        <f>"4574674200812212"</f>
        <v>4574674200812212</v>
      </c>
      <c r="F5875" t="str">
        <f>"016"</f>
        <v>016</v>
      </c>
      <c r="G5875">
        <v>1</v>
      </c>
      <c r="H5875">
        <v>2023</v>
      </c>
      <c r="I5875" t="s">
        <v>5990</v>
      </c>
    </row>
    <row r="5876" spans="1:9" x14ac:dyDescent="0.3">
      <c r="A5876" t="s">
        <v>10151</v>
      </c>
      <c r="B5876" t="s">
        <v>43</v>
      </c>
      <c r="C5876">
        <v>7648876604</v>
      </c>
      <c r="D5876" s="2">
        <v>1</v>
      </c>
      <c r="E5876" t="str">
        <f>"4574674200812121"</f>
        <v>4574674200812121</v>
      </c>
      <c r="F5876" t="str">
        <f>"188"</f>
        <v>188</v>
      </c>
      <c r="G5876">
        <v>1</v>
      </c>
      <c r="H5876">
        <v>2023</v>
      </c>
      <c r="I5876" t="s">
        <v>5991</v>
      </c>
    </row>
    <row r="5877" spans="1:9" x14ac:dyDescent="0.3">
      <c r="A5877" t="s">
        <v>10151</v>
      </c>
      <c r="B5877" t="s">
        <v>43</v>
      </c>
      <c r="C5877">
        <v>7648876604</v>
      </c>
      <c r="D5877" s="2">
        <v>1</v>
      </c>
      <c r="E5877" t="str">
        <f>"4574674200812147"</f>
        <v>4574674200812147</v>
      </c>
      <c r="F5877" t="str">
        <f>"703"</f>
        <v>703</v>
      </c>
      <c r="G5877">
        <v>1</v>
      </c>
      <c r="H5877">
        <v>2023</v>
      </c>
      <c r="I5877" t="s">
        <v>5992</v>
      </c>
    </row>
    <row r="5878" spans="1:9" x14ac:dyDescent="0.3">
      <c r="A5878" t="s">
        <v>10152</v>
      </c>
      <c r="B5878" t="s">
        <v>44</v>
      </c>
      <c r="C5878">
        <v>7648876604</v>
      </c>
      <c r="D5878" s="2">
        <v>1</v>
      </c>
      <c r="E5878" t="str">
        <f>"4574674200812188"</f>
        <v>4574674200812188</v>
      </c>
      <c r="F5878" t="str">
        <f>"963"</f>
        <v>963</v>
      </c>
      <c r="G5878">
        <v>1</v>
      </c>
      <c r="H5878">
        <v>2023</v>
      </c>
      <c r="I5878" t="s">
        <v>5993</v>
      </c>
    </row>
    <row r="5879" spans="1:9" x14ac:dyDescent="0.3">
      <c r="A5879" t="s">
        <v>10152</v>
      </c>
      <c r="B5879" t="s">
        <v>44</v>
      </c>
      <c r="C5879">
        <v>7648876604</v>
      </c>
      <c r="D5879" s="2">
        <v>1</v>
      </c>
      <c r="E5879" t="str">
        <f>"4574674200812196"</f>
        <v>4574674200812196</v>
      </c>
      <c r="F5879" t="str">
        <f>"146"</f>
        <v>146</v>
      </c>
      <c r="G5879">
        <v>1</v>
      </c>
      <c r="H5879">
        <v>2023</v>
      </c>
      <c r="I5879" t="s">
        <v>5994</v>
      </c>
    </row>
    <row r="5880" spans="1:9" x14ac:dyDescent="0.3">
      <c r="A5880" t="s">
        <v>10152</v>
      </c>
      <c r="B5880" t="s">
        <v>44</v>
      </c>
      <c r="C5880">
        <v>7648876604</v>
      </c>
      <c r="D5880" s="2">
        <v>1</v>
      </c>
      <c r="E5880" t="str">
        <f>"4574674200812360"</f>
        <v>4574674200812360</v>
      </c>
      <c r="F5880" t="str">
        <f>"230"</f>
        <v>230</v>
      </c>
      <c r="G5880">
        <v>1</v>
      </c>
      <c r="H5880">
        <v>2023</v>
      </c>
      <c r="I5880" t="s">
        <v>5995</v>
      </c>
    </row>
    <row r="5881" spans="1:9" x14ac:dyDescent="0.3">
      <c r="A5881" t="s">
        <v>10152</v>
      </c>
      <c r="B5881" t="s">
        <v>44</v>
      </c>
      <c r="C5881">
        <v>7648876604</v>
      </c>
      <c r="D5881" s="2">
        <v>1</v>
      </c>
      <c r="E5881" t="str">
        <f>"4574674200812378"</f>
        <v>4574674200812378</v>
      </c>
      <c r="F5881" t="str">
        <f>"924"</f>
        <v>924</v>
      </c>
      <c r="G5881">
        <v>1</v>
      </c>
      <c r="H5881">
        <v>2023</v>
      </c>
      <c r="I5881" t="s">
        <v>5996</v>
      </c>
    </row>
    <row r="5882" spans="1:9" x14ac:dyDescent="0.3">
      <c r="A5882" t="s">
        <v>10152</v>
      </c>
      <c r="B5882" t="s">
        <v>44</v>
      </c>
      <c r="C5882">
        <v>7648876604</v>
      </c>
      <c r="D5882" s="2">
        <v>1</v>
      </c>
      <c r="E5882" t="str">
        <f>"4574674200812410"</f>
        <v>4574674200812410</v>
      </c>
      <c r="F5882" t="str">
        <f>"401"</f>
        <v>401</v>
      </c>
      <c r="G5882">
        <v>1</v>
      </c>
      <c r="H5882">
        <v>2023</v>
      </c>
      <c r="I5882" t="s">
        <v>5997</v>
      </c>
    </row>
    <row r="5883" spans="1:9" x14ac:dyDescent="0.3">
      <c r="A5883" t="s">
        <v>10152</v>
      </c>
      <c r="B5883" t="s">
        <v>44</v>
      </c>
      <c r="C5883">
        <v>7648876604</v>
      </c>
      <c r="D5883" s="2">
        <v>1</v>
      </c>
      <c r="E5883" t="str">
        <f>"4574674200812725"</f>
        <v>4574674200812725</v>
      </c>
      <c r="F5883" t="str">
        <f>"181"</f>
        <v>181</v>
      </c>
      <c r="G5883">
        <v>1</v>
      </c>
      <c r="H5883">
        <v>2023</v>
      </c>
      <c r="I5883" t="s">
        <v>5998</v>
      </c>
    </row>
    <row r="5884" spans="1:9" x14ac:dyDescent="0.3">
      <c r="A5884" t="s">
        <v>10152</v>
      </c>
      <c r="B5884" t="s">
        <v>44</v>
      </c>
      <c r="C5884">
        <v>7648876604</v>
      </c>
      <c r="D5884" s="2">
        <v>1</v>
      </c>
      <c r="E5884" t="str">
        <f>"4574674200812741"</f>
        <v>4574674200812741</v>
      </c>
      <c r="F5884" t="str">
        <f>"089"</f>
        <v>089</v>
      </c>
      <c r="G5884">
        <v>1</v>
      </c>
      <c r="H5884">
        <v>2023</v>
      </c>
      <c r="I5884" t="s">
        <v>5999</v>
      </c>
    </row>
    <row r="5885" spans="1:9" x14ac:dyDescent="0.3">
      <c r="A5885" t="s">
        <v>10152</v>
      </c>
      <c r="B5885" t="s">
        <v>44</v>
      </c>
      <c r="C5885">
        <v>7648876604</v>
      </c>
      <c r="D5885" s="2">
        <v>1</v>
      </c>
      <c r="E5885" t="str">
        <f>"4574674200812469"</f>
        <v>4574674200812469</v>
      </c>
      <c r="F5885" t="str">
        <f>"798"</f>
        <v>798</v>
      </c>
      <c r="G5885">
        <v>1</v>
      </c>
      <c r="H5885">
        <v>2023</v>
      </c>
      <c r="I5885" t="s">
        <v>6000</v>
      </c>
    </row>
    <row r="5886" spans="1:9" x14ac:dyDescent="0.3">
      <c r="A5886" t="s">
        <v>10152</v>
      </c>
      <c r="B5886" t="s">
        <v>44</v>
      </c>
      <c r="C5886">
        <v>7648876604</v>
      </c>
      <c r="D5886" s="2">
        <v>1</v>
      </c>
      <c r="E5886" t="str">
        <f>"4574674200812477"</f>
        <v>4574674200812477</v>
      </c>
      <c r="F5886" t="str">
        <f>"432"</f>
        <v>432</v>
      </c>
      <c r="G5886">
        <v>1</v>
      </c>
      <c r="H5886">
        <v>2023</v>
      </c>
      <c r="I5886" t="s">
        <v>6001</v>
      </c>
    </row>
    <row r="5887" spans="1:9" x14ac:dyDescent="0.3">
      <c r="A5887" t="s">
        <v>10152</v>
      </c>
      <c r="B5887" t="s">
        <v>44</v>
      </c>
      <c r="C5887">
        <v>7648876604</v>
      </c>
      <c r="D5887" s="2">
        <v>1</v>
      </c>
      <c r="E5887" t="str">
        <f>"4574674200812493"</f>
        <v>4574674200812493</v>
      </c>
      <c r="F5887" t="str">
        <f>"199"</f>
        <v>199</v>
      </c>
      <c r="G5887">
        <v>1</v>
      </c>
      <c r="H5887">
        <v>2023</v>
      </c>
      <c r="I5887" t="s">
        <v>6002</v>
      </c>
    </row>
    <row r="5888" spans="1:9" x14ac:dyDescent="0.3">
      <c r="A5888" t="s">
        <v>10153</v>
      </c>
      <c r="B5888" t="s">
        <v>45</v>
      </c>
      <c r="C5888">
        <v>7648876604</v>
      </c>
      <c r="D5888" s="2">
        <v>1</v>
      </c>
      <c r="E5888" t="str">
        <f>"4574674200812501"</f>
        <v>4574674200812501</v>
      </c>
      <c r="F5888" t="str">
        <f>"632"</f>
        <v>632</v>
      </c>
      <c r="G5888">
        <v>1</v>
      </c>
      <c r="H5888">
        <v>2023</v>
      </c>
      <c r="I5888" t="s">
        <v>6003</v>
      </c>
    </row>
    <row r="5889" spans="1:9" x14ac:dyDescent="0.3">
      <c r="A5889" t="s">
        <v>10153</v>
      </c>
      <c r="B5889" t="s">
        <v>45</v>
      </c>
      <c r="C5889">
        <v>7648876604</v>
      </c>
      <c r="D5889" s="2">
        <v>1</v>
      </c>
      <c r="E5889" t="str">
        <f>"4574674200812519"</f>
        <v>4574674200812519</v>
      </c>
      <c r="F5889" t="str">
        <f>"994"</f>
        <v>994</v>
      </c>
      <c r="G5889">
        <v>1</v>
      </c>
      <c r="H5889">
        <v>2023</v>
      </c>
      <c r="I5889" t="s">
        <v>6004</v>
      </c>
    </row>
    <row r="5890" spans="1:9" x14ac:dyDescent="0.3">
      <c r="A5890" t="s">
        <v>10153</v>
      </c>
      <c r="B5890" t="s">
        <v>45</v>
      </c>
      <c r="C5890">
        <v>7648876604</v>
      </c>
      <c r="D5890" s="2">
        <v>1</v>
      </c>
      <c r="E5890" t="str">
        <f>"4574674200812881"</f>
        <v>4574674200812881</v>
      </c>
      <c r="F5890" t="str">
        <f>"511"</f>
        <v>511</v>
      </c>
      <c r="G5890">
        <v>1</v>
      </c>
      <c r="H5890">
        <v>2023</v>
      </c>
      <c r="I5890" t="s">
        <v>6005</v>
      </c>
    </row>
    <row r="5891" spans="1:9" x14ac:dyDescent="0.3">
      <c r="A5891" t="s">
        <v>10153</v>
      </c>
      <c r="B5891" t="s">
        <v>45</v>
      </c>
      <c r="C5891">
        <v>7648876604</v>
      </c>
      <c r="D5891" s="2">
        <v>1</v>
      </c>
      <c r="E5891" t="str">
        <f>"4574674200812899"</f>
        <v>4574674200812899</v>
      </c>
      <c r="F5891" t="str">
        <f>"892"</f>
        <v>892</v>
      </c>
      <c r="G5891">
        <v>1</v>
      </c>
      <c r="H5891">
        <v>2023</v>
      </c>
      <c r="I5891" t="s">
        <v>6006</v>
      </c>
    </row>
    <row r="5892" spans="1:9" x14ac:dyDescent="0.3">
      <c r="A5892" t="s">
        <v>10153</v>
      </c>
      <c r="B5892" t="s">
        <v>45</v>
      </c>
      <c r="C5892">
        <v>7648876604</v>
      </c>
      <c r="D5892" s="2">
        <v>1</v>
      </c>
      <c r="E5892" t="str">
        <f>"4574674200813046"</f>
        <v>4574674200813046</v>
      </c>
      <c r="F5892" t="str">
        <f>"848"</f>
        <v>848</v>
      </c>
      <c r="G5892">
        <v>1</v>
      </c>
      <c r="H5892">
        <v>2023</v>
      </c>
      <c r="I5892" t="s">
        <v>6007</v>
      </c>
    </row>
    <row r="5893" spans="1:9" x14ac:dyDescent="0.3">
      <c r="A5893" t="s">
        <v>10153</v>
      </c>
      <c r="B5893" t="s">
        <v>45</v>
      </c>
      <c r="C5893">
        <v>7648876604</v>
      </c>
      <c r="D5893" s="2">
        <v>1</v>
      </c>
      <c r="E5893" t="str">
        <f>"4574674200813061"</f>
        <v>4574674200813061</v>
      </c>
      <c r="F5893" t="str">
        <f>"421"</f>
        <v>421</v>
      </c>
      <c r="G5893">
        <v>1</v>
      </c>
      <c r="H5893">
        <v>2023</v>
      </c>
      <c r="I5893" t="s">
        <v>6008</v>
      </c>
    </row>
    <row r="5894" spans="1:9" x14ac:dyDescent="0.3">
      <c r="A5894" t="s">
        <v>10153</v>
      </c>
      <c r="B5894" t="s">
        <v>45</v>
      </c>
      <c r="C5894">
        <v>7648876604</v>
      </c>
      <c r="D5894" s="2">
        <v>1</v>
      </c>
      <c r="E5894" t="str">
        <f>"4574674200812584"</f>
        <v>4574674200812584</v>
      </c>
      <c r="F5894" t="str">
        <f>"924"</f>
        <v>924</v>
      </c>
      <c r="G5894">
        <v>1</v>
      </c>
      <c r="H5894">
        <v>2023</v>
      </c>
      <c r="I5894" t="s">
        <v>6009</v>
      </c>
    </row>
    <row r="5895" spans="1:9" x14ac:dyDescent="0.3">
      <c r="A5895" t="s">
        <v>10153</v>
      </c>
      <c r="B5895" t="s">
        <v>45</v>
      </c>
      <c r="C5895">
        <v>7648876604</v>
      </c>
      <c r="D5895" s="2">
        <v>1</v>
      </c>
      <c r="E5895" t="str">
        <f>"4574674200812592"</f>
        <v>4574674200812592</v>
      </c>
      <c r="F5895" t="str">
        <f>"197"</f>
        <v>197</v>
      </c>
      <c r="G5895">
        <v>1</v>
      </c>
      <c r="H5895">
        <v>2023</v>
      </c>
      <c r="I5895" t="s">
        <v>6010</v>
      </c>
    </row>
    <row r="5896" spans="1:9" x14ac:dyDescent="0.3">
      <c r="A5896" t="s">
        <v>10153</v>
      </c>
      <c r="B5896" t="s">
        <v>45</v>
      </c>
      <c r="C5896">
        <v>7648876604</v>
      </c>
      <c r="D5896" s="2">
        <v>1</v>
      </c>
      <c r="E5896" t="str">
        <f>"4574674200813202"</f>
        <v>4574674200813202</v>
      </c>
      <c r="F5896" t="str">
        <f>"085"</f>
        <v>085</v>
      </c>
      <c r="G5896">
        <v>1</v>
      </c>
      <c r="H5896">
        <v>2023</v>
      </c>
      <c r="I5896" t="s">
        <v>6011</v>
      </c>
    </row>
    <row r="5897" spans="1:9" x14ac:dyDescent="0.3">
      <c r="A5897" t="s">
        <v>10153</v>
      </c>
      <c r="B5897" t="s">
        <v>45</v>
      </c>
      <c r="C5897">
        <v>7648876604</v>
      </c>
      <c r="D5897" s="2">
        <v>1</v>
      </c>
      <c r="E5897" t="str">
        <f>"4574674200813228"</f>
        <v>4574674200813228</v>
      </c>
      <c r="F5897" t="str">
        <f>"256"</f>
        <v>256</v>
      </c>
      <c r="G5897">
        <v>1</v>
      </c>
      <c r="H5897">
        <v>2023</v>
      </c>
      <c r="I5897" t="s">
        <v>6012</v>
      </c>
    </row>
    <row r="5898" spans="1:9" x14ac:dyDescent="0.3">
      <c r="A5898" t="s">
        <v>10142</v>
      </c>
      <c r="B5898" t="s">
        <v>34</v>
      </c>
      <c r="C5898">
        <v>7648876604</v>
      </c>
      <c r="D5898" s="2">
        <v>1</v>
      </c>
      <c r="E5898" t="str">
        <f>"4574674200813251"</f>
        <v>4574674200813251</v>
      </c>
      <c r="F5898" t="str">
        <f>"009"</f>
        <v>009</v>
      </c>
      <c r="G5898">
        <v>1</v>
      </c>
      <c r="H5898">
        <v>2023</v>
      </c>
      <c r="I5898" t="s">
        <v>6013</v>
      </c>
    </row>
    <row r="5899" spans="1:9" x14ac:dyDescent="0.3">
      <c r="A5899" t="s">
        <v>10142</v>
      </c>
      <c r="B5899" t="s">
        <v>34</v>
      </c>
      <c r="C5899">
        <v>7648876604</v>
      </c>
      <c r="D5899" s="2">
        <v>1</v>
      </c>
      <c r="E5899" t="str">
        <f>"4574674200813186"</f>
        <v>4574674200813186</v>
      </c>
      <c r="F5899" t="str">
        <f>"250"</f>
        <v>250</v>
      </c>
      <c r="G5899">
        <v>1</v>
      </c>
      <c r="H5899">
        <v>2023</v>
      </c>
      <c r="I5899" t="s">
        <v>6014</v>
      </c>
    </row>
    <row r="5900" spans="1:9" x14ac:dyDescent="0.3">
      <c r="A5900" t="s">
        <v>10142</v>
      </c>
      <c r="B5900" t="s">
        <v>34</v>
      </c>
      <c r="C5900">
        <v>7648876604</v>
      </c>
      <c r="D5900" s="2">
        <v>1</v>
      </c>
      <c r="E5900" t="str">
        <f>"4574674200813426"</f>
        <v>4574674200813426</v>
      </c>
      <c r="F5900" t="str">
        <f>"054"</f>
        <v>054</v>
      </c>
      <c r="G5900">
        <v>1</v>
      </c>
      <c r="H5900">
        <v>2023</v>
      </c>
      <c r="I5900" t="s">
        <v>6015</v>
      </c>
    </row>
    <row r="5901" spans="1:9" x14ac:dyDescent="0.3">
      <c r="A5901" t="s">
        <v>10142</v>
      </c>
      <c r="B5901" t="s">
        <v>34</v>
      </c>
      <c r="C5901">
        <v>7648876604</v>
      </c>
      <c r="D5901" s="2">
        <v>1</v>
      </c>
      <c r="E5901" t="str">
        <f>"4574674200813517"</f>
        <v>4574674200813517</v>
      </c>
      <c r="F5901" t="str">
        <f>"404"</f>
        <v>404</v>
      </c>
      <c r="G5901">
        <v>1</v>
      </c>
      <c r="H5901">
        <v>2023</v>
      </c>
      <c r="I5901" t="s">
        <v>6016</v>
      </c>
    </row>
    <row r="5902" spans="1:9" x14ac:dyDescent="0.3">
      <c r="A5902" t="s">
        <v>10142</v>
      </c>
      <c r="B5902" t="s">
        <v>34</v>
      </c>
      <c r="C5902">
        <v>7648876604</v>
      </c>
      <c r="D5902" s="2">
        <v>1</v>
      </c>
      <c r="E5902" t="str">
        <f>"4574674200813319"</f>
        <v>4574674200813319</v>
      </c>
      <c r="F5902" t="str">
        <f>"201"</f>
        <v>201</v>
      </c>
      <c r="G5902">
        <v>1</v>
      </c>
      <c r="H5902">
        <v>2023</v>
      </c>
      <c r="I5902" t="s">
        <v>6017</v>
      </c>
    </row>
    <row r="5903" spans="1:9" x14ac:dyDescent="0.3">
      <c r="A5903" t="s">
        <v>10142</v>
      </c>
      <c r="B5903" t="s">
        <v>34</v>
      </c>
      <c r="C5903">
        <v>7648876604</v>
      </c>
      <c r="D5903" s="2">
        <v>1</v>
      </c>
      <c r="E5903" t="str">
        <f>"4574674200813301"</f>
        <v>4574674200813301</v>
      </c>
      <c r="F5903" t="str">
        <f>"868"</f>
        <v>868</v>
      </c>
      <c r="G5903">
        <v>1</v>
      </c>
      <c r="H5903">
        <v>2023</v>
      </c>
      <c r="I5903" t="s">
        <v>6018</v>
      </c>
    </row>
    <row r="5904" spans="1:9" x14ac:dyDescent="0.3">
      <c r="A5904" t="s">
        <v>10142</v>
      </c>
      <c r="B5904" t="s">
        <v>34</v>
      </c>
      <c r="C5904">
        <v>7648876604</v>
      </c>
      <c r="D5904" s="2">
        <v>1</v>
      </c>
      <c r="E5904" t="str">
        <f>"4574674200813582"</f>
        <v>4574674200813582</v>
      </c>
      <c r="F5904" t="str">
        <f>"313"</f>
        <v>313</v>
      </c>
      <c r="G5904">
        <v>1</v>
      </c>
      <c r="H5904">
        <v>2023</v>
      </c>
      <c r="I5904" t="s">
        <v>6019</v>
      </c>
    </row>
    <row r="5905" spans="1:9" x14ac:dyDescent="0.3">
      <c r="A5905" t="s">
        <v>10142</v>
      </c>
      <c r="B5905" t="s">
        <v>34</v>
      </c>
      <c r="C5905">
        <v>7648876604</v>
      </c>
      <c r="D5905" s="2">
        <v>1</v>
      </c>
      <c r="E5905" t="str">
        <f>"4574674200813335"</f>
        <v>4574674200813335</v>
      </c>
      <c r="F5905" t="str">
        <f>"172"</f>
        <v>172</v>
      </c>
      <c r="G5905">
        <v>1</v>
      </c>
      <c r="H5905">
        <v>2023</v>
      </c>
      <c r="I5905" t="s">
        <v>6020</v>
      </c>
    </row>
    <row r="5906" spans="1:9" x14ac:dyDescent="0.3">
      <c r="A5906" t="s">
        <v>10142</v>
      </c>
      <c r="B5906" t="s">
        <v>34</v>
      </c>
      <c r="C5906">
        <v>7648876604</v>
      </c>
      <c r="D5906" s="2">
        <v>1</v>
      </c>
      <c r="E5906" t="str">
        <f>"4574674200813350"</f>
        <v>4574674200813350</v>
      </c>
      <c r="F5906" t="str">
        <f>"239"</f>
        <v>239</v>
      </c>
      <c r="G5906">
        <v>1</v>
      </c>
      <c r="H5906">
        <v>2023</v>
      </c>
      <c r="I5906" t="s">
        <v>6021</v>
      </c>
    </row>
    <row r="5907" spans="1:9" x14ac:dyDescent="0.3">
      <c r="A5907" t="s">
        <v>10142</v>
      </c>
      <c r="B5907" t="s">
        <v>34</v>
      </c>
      <c r="C5907">
        <v>7648876604</v>
      </c>
      <c r="D5907" s="2">
        <v>1</v>
      </c>
      <c r="E5907" t="str">
        <f>"4574674200813376"</f>
        <v>4574674200813376</v>
      </c>
      <c r="F5907" t="str">
        <f>"322"</f>
        <v>322</v>
      </c>
      <c r="G5907">
        <v>1</v>
      </c>
      <c r="H5907">
        <v>2023</v>
      </c>
      <c r="I5907" t="s">
        <v>6022</v>
      </c>
    </row>
    <row r="5908" spans="1:9" x14ac:dyDescent="0.3">
      <c r="A5908" t="s">
        <v>10154</v>
      </c>
      <c r="B5908" t="s">
        <v>46</v>
      </c>
      <c r="C5908">
        <v>7648876604</v>
      </c>
      <c r="D5908" s="2">
        <v>1</v>
      </c>
      <c r="E5908" t="str">
        <f>"4574674200813665"</f>
        <v>4574674200813665</v>
      </c>
      <c r="F5908" t="str">
        <f>"893"</f>
        <v>893</v>
      </c>
      <c r="G5908">
        <v>1</v>
      </c>
      <c r="H5908">
        <v>2023</v>
      </c>
      <c r="I5908" t="s">
        <v>6023</v>
      </c>
    </row>
    <row r="5909" spans="1:9" x14ac:dyDescent="0.3">
      <c r="A5909" t="s">
        <v>10154</v>
      </c>
      <c r="B5909" t="s">
        <v>46</v>
      </c>
      <c r="C5909">
        <v>7648876604</v>
      </c>
      <c r="D5909" s="2">
        <v>1</v>
      </c>
      <c r="E5909" t="str">
        <f>"4574674200813749"</f>
        <v>4574674200813749</v>
      </c>
      <c r="F5909" t="str">
        <f>"908"</f>
        <v>908</v>
      </c>
      <c r="G5909">
        <v>1</v>
      </c>
      <c r="H5909">
        <v>2023</v>
      </c>
      <c r="I5909" t="s">
        <v>6024</v>
      </c>
    </row>
    <row r="5910" spans="1:9" x14ac:dyDescent="0.3">
      <c r="A5910" t="s">
        <v>10154</v>
      </c>
      <c r="B5910" t="s">
        <v>46</v>
      </c>
      <c r="C5910">
        <v>7648876604</v>
      </c>
      <c r="D5910" s="2">
        <v>1</v>
      </c>
      <c r="E5910" t="str">
        <f>"4574674200814010"</f>
        <v>4574674200814010</v>
      </c>
      <c r="F5910" t="str">
        <f>"495"</f>
        <v>495</v>
      </c>
      <c r="G5910">
        <v>1</v>
      </c>
      <c r="H5910">
        <v>2023</v>
      </c>
      <c r="I5910" t="s">
        <v>6025</v>
      </c>
    </row>
    <row r="5911" spans="1:9" x14ac:dyDescent="0.3">
      <c r="A5911" t="s">
        <v>10154</v>
      </c>
      <c r="B5911" t="s">
        <v>46</v>
      </c>
      <c r="C5911">
        <v>7648876604</v>
      </c>
      <c r="D5911" s="2">
        <v>1</v>
      </c>
      <c r="E5911" t="str">
        <f>"4574674200813830"</f>
        <v>4574674200813830</v>
      </c>
      <c r="F5911" t="str">
        <f>"984"</f>
        <v>984</v>
      </c>
      <c r="G5911">
        <v>1</v>
      </c>
      <c r="H5911">
        <v>2023</v>
      </c>
      <c r="I5911" t="s">
        <v>6026</v>
      </c>
    </row>
    <row r="5912" spans="1:9" x14ac:dyDescent="0.3">
      <c r="A5912" t="s">
        <v>10154</v>
      </c>
      <c r="B5912" t="s">
        <v>46</v>
      </c>
      <c r="C5912">
        <v>7648876604</v>
      </c>
      <c r="D5912" s="2">
        <v>1</v>
      </c>
      <c r="E5912" t="str">
        <f>"4574674200813848"</f>
        <v>4574674200813848</v>
      </c>
      <c r="F5912" t="str">
        <f>"728"</f>
        <v>728</v>
      </c>
      <c r="G5912">
        <v>1</v>
      </c>
      <c r="H5912">
        <v>2023</v>
      </c>
      <c r="I5912" t="s">
        <v>6027</v>
      </c>
    </row>
    <row r="5913" spans="1:9" x14ac:dyDescent="0.3">
      <c r="A5913" t="s">
        <v>10154</v>
      </c>
      <c r="B5913" t="s">
        <v>46</v>
      </c>
      <c r="C5913">
        <v>7648876604</v>
      </c>
      <c r="D5913" s="2">
        <v>1</v>
      </c>
      <c r="E5913" t="str">
        <f>"4574674200813822"</f>
        <v>4574674200813822</v>
      </c>
      <c r="F5913" t="str">
        <f>"393"</f>
        <v>393</v>
      </c>
      <c r="G5913">
        <v>1</v>
      </c>
      <c r="H5913">
        <v>2023</v>
      </c>
      <c r="I5913" t="s">
        <v>6028</v>
      </c>
    </row>
    <row r="5914" spans="1:9" x14ac:dyDescent="0.3">
      <c r="A5914" t="s">
        <v>10154</v>
      </c>
      <c r="B5914" t="s">
        <v>46</v>
      </c>
      <c r="C5914">
        <v>7648876604</v>
      </c>
      <c r="D5914" s="2">
        <v>1</v>
      </c>
      <c r="E5914" t="str">
        <f>"4574674200813871"</f>
        <v>4574674200813871</v>
      </c>
      <c r="F5914" t="str">
        <f>"608"</f>
        <v>608</v>
      </c>
      <c r="G5914">
        <v>1</v>
      </c>
      <c r="H5914">
        <v>2023</v>
      </c>
      <c r="I5914" t="s">
        <v>6029</v>
      </c>
    </row>
    <row r="5915" spans="1:9" x14ac:dyDescent="0.3">
      <c r="A5915" t="s">
        <v>10154</v>
      </c>
      <c r="B5915" t="s">
        <v>46</v>
      </c>
      <c r="C5915">
        <v>7648876604</v>
      </c>
      <c r="D5915" s="2">
        <v>1</v>
      </c>
      <c r="E5915" t="str">
        <f>"4574674200813889"</f>
        <v>4574674200813889</v>
      </c>
      <c r="F5915" t="str">
        <f>"448"</f>
        <v>448</v>
      </c>
      <c r="G5915">
        <v>1</v>
      </c>
      <c r="H5915">
        <v>2023</v>
      </c>
      <c r="I5915" t="s">
        <v>6030</v>
      </c>
    </row>
    <row r="5916" spans="1:9" x14ac:dyDescent="0.3">
      <c r="A5916" t="s">
        <v>10154</v>
      </c>
      <c r="B5916" t="s">
        <v>46</v>
      </c>
      <c r="C5916">
        <v>7648876604</v>
      </c>
      <c r="D5916" s="2">
        <v>1</v>
      </c>
      <c r="E5916" t="str">
        <f>"4574674200814085"</f>
        <v>4574674200814085</v>
      </c>
      <c r="F5916" t="str">
        <f>"034"</f>
        <v>034</v>
      </c>
      <c r="G5916">
        <v>1</v>
      </c>
      <c r="H5916">
        <v>2023</v>
      </c>
      <c r="I5916" t="s">
        <v>6031</v>
      </c>
    </row>
    <row r="5917" spans="1:9" x14ac:dyDescent="0.3">
      <c r="A5917" t="s">
        <v>10154</v>
      </c>
      <c r="B5917" t="s">
        <v>46</v>
      </c>
      <c r="C5917">
        <v>7648876604</v>
      </c>
      <c r="D5917" s="2">
        <v>1</v>
      </c>
      <c r="E5917" t="str">
        <f>"4574674200813954"</f>
        <v>4574674200813954</v>
      </c>
      <c r="F5917" t="str">
        <f>"307"</f>
        <v>307</v>
      </c>
      <c r="G5917">
        <v>1</v>
      </c>
      <c r="H5917">
        <v>2023</v>
      </c>
      <c r="I5917" t="s">
        <v>6032</v>
      </c>
    </row>
    <row r="5918" spans="1:9" x14ac:dyDescent="0.3">
      <c r="A5918" t="s">
        <v>10155</v>
      </c>
      <c r="B5918" t="s">
        <v>47</v>
      </c>
      <c r="C5918">
        <v>7648876604</v>
      </c>
      <c r="D5918" s="2">
        <v>1</v>
      </c>
      <c r="E5918" t="str">
        <f>"4574674200813947"</f>
        <v>4574674200813947</v>
      </c>
      <c r="F5918" t="str">
        <f>"079"</f>
        <v>079</v>
      </c>
      <c r="G5918">
        <v>1</v>
      </c>
      <c r="H5918">
        <v>2023</v>
      </c>
      <c r="I5918" t="s">
        <v>6033</v>
      </c>
    </row>
    <row r="5919" spans="1:9" x14ac:dyDescent="0.3">
      <c r="A5919" t="s">
        <v>10155</v>
      </c>
      <c r="B5919" t="s">
        <v>47</v>
      </c>
      <c r="C5919">
        <v>7648876604</v>
      </c>
      <c r="D5919" s="2">
        <v>1</v>
      </c>
      <c r="E5919" t="str">
        <f>"4574674200813970"</f>
        <v>4574674200813970</v>
      </c>
      <c r="F5919" t="str">
        <f>"727"</f>
        <v>727</v>
      </c>
      <c r="G5919">
        <v>1</v>
      </c>
      <c r="H5919">
        <v>2023</v>
      </c>
      <c r="I5919" t="s">
        <v>6034</v>
      </c>
    </row>
    <row r="5920" spans="1:9" x14ac:dyDescent="0.3">
      <c r="A5920" t="s">
        <v>10155</v>
      </c>
      <c r="B5920" t="s">
        <v>47</v>
      </c>
      <c r="C5920">
        <v>7648876604</v>
      </c>
      <c r="D5920" s="2">
        <v>1</v>
      </c>
      <c r="E5920" t="str">
        <f>"4574674200814176"</f>
        <v>4574674200814176</v>
      </c>
      <c r="F5920" t="str">
        <f>"856"</f>
        <v>856</v>
      </c>
      <c r="G5920">
        <v>1</v>
      </c>
      <c r="H5920">
        <v>2023</v>
      </c>
      <c r="I5920" t="s">
        <v>6035</v>
      </c>
    </row>
    <row r="5921" spans="1:9" x14ac:dyDescent="0.3">
      <c r="A5921" t="s">
        <v>10155</v>
      </c>
      <c r="B5921" t="s">
        <v>47</v>
      </c>
      <c r="C5921">
        <v>7648876604</v>
      </c>
      <c r="D5921" s="2">
        <v>1</v>
      </c>
      <c r="E5921" t="str">
        <f>"4574674200813988"</f>
        <v>4574674200813988</v>
      </c>
      <c r="F5921" t="str">
        <f>"444"</f>
        <v>444</v>
      </c>
      <c r="G5921">
        <v>1</v>
      </c>
      <c r="H5921">
        <v>2023</v>
      </c>
      <c r="I5921" t="s">
        <v>6036</v>
      </c>
    </row>
    <row r="5922" spans="1:9" x14ac:dyDescent="0.3">
      <c r="A5922" t="s">
        <v>10155</v>
      </c>
      <c r="B5922" t="s">
        <v>47</v>
      </c>
      <c r="C5922">
        <v>7648876604</v>
      </c>
      <c r="D5922" s="2">
        <v>1</v>
      </c>
      <c r="E5922" t="str">
        <f>"4574674200814234"</f>
        <v>4574674200814234</v>
      </c>
      <c r="F5922" t="str">
        <f>"513"</f>
        <v>513</v>
      </c>
      <c r="G5922">
        <v>1</v>
      </c>
      <c r="H5922">
        <v>2023</v>
      </c>
      <c r="I5922" t="s">
        <v>6037</v>
      </c>
    </row>
    <row r="5923" spans="1:9" x14ac:dyDescent="0.3">
      <c r="A5923" t="s">
        <v>10155</v>
      </c>
      <c r="B5923" t="s">
        <v>47</v>
      </c>
      <c r="C5923">
        <v>7648876604</v>
      </c>
      <c r="D5923" s="2">
        <v>1</v>
      </c>
      <c r="E5923" t="str">
        <f>"4574674200814408"</f>
        <v>4574674200814408</v>
      </c>
      <c r="F5923" t="str">
        <f>"955"</f>
        <v>955</v>
      </c>
      <c r="G5923">
        <v>1</v>
      </c>
      <c r="H5923">
        <v>2023</v>
      </c>
      <c r="I5923" t="s">
        <v>6038</v>
      </c>
    </row>
    <row r="5924" spans="1:9" x14ac:dyDescent="0.3">
      <c r="A5924" t="s">
        <v>10155</v>
      </c>
      <c r="B5924" t="s">
        <v>47</v>
      </c>
      <c r="C5924">
        <v>7648876604</v>
      </c>
      <c r="D5924" s="2">
        <v>1</v>
      </c>
      <c r="E5924" t="str">
        <f>"4574674200814275"</f>
        <v>4574674200814275</v>
      </c>
      <c r="F5924" t="str">
        <f>"883"</f>
        <v>883</v>
      </c>
      <c r="G5924">
        <v>1</v>
      </c>
      <c r="H5924">
        <v>2023</v>
      </c>
      <c r="I5924" t="s">
        <v>6039</v>
      </c>
    </row>
    <row r="5925" spans="1:9" x14ac:dyDescent="0.3">
      <c r="A5925" t="s">
        <v>10155</v>
      </c>
      <c r="B5925" t="s">
        <v>47</v>
      </c>
      <c r="C5925">
        <v>7648876604</v>
      </c>
      <c r="D5925" s="2">
        <v>1</v>
      </c>
      <c r="E5925" t="str">
        <f>"4574674200814283"</f>
        <v>4574674200814283</v>
      </c>
      <c r="F5925" t="str">
        <f>"991"</f>
        <v>991</v>
      </c>
      <c r="G5925">
        <v>1</v>
      </c>
      <c r="H5925">
        <v>2023</v>
      </c>
      <c r="I5925" t="s">
        <v>6040</v>
      </c>
    </row>
    <row r="5926" spans="1:9" x14ac:dyDescent="0.3">
      <c r="A5926" t="s">
        <v>10155</v>
      </c>
      <c r="B5926" t="s">
        <v>47</v>
      </c>
      <c r="C5926">
        <v>7648876604</v>
      </c>
      <c r="D5926" s="2">
        <v>1</v>
      </c>
      <c r="E5926" t="str">
        <f>"4574674200814291"</f>
        <v>4574674200814291</v>
      </c>
      <c r="F5926" t="str">
        <f>"501"</f>
        <v>501</v>
      </c>
      <c r="G5926">
        <v>1</v>
      </c>
      <c r="H5926">
        <v>2023</v>
      </c>
      <c r="I5926" t="s">
        <v>6041</v>
      </c>
    </row>
    <row r="5927" spans="1:9" x14ac:dyDescent="0.3">
      <c r="A5927" t="s">
        <v>10155</v>
      </c>
      <c r="B5927" t="s">
        <v>47</v>
      </c>
      <c r="C5927">
        <v>7648876604</v>
      </c>
      <c r="D5927" s="2">
        <v>1</v>
      </c>
      <c r="E5927" t="str">
        <f>"4574674200814317"</f>
        <v>4574674200814317</v>
      </c>
      <c r="F5927" t="str">
        <f>"284"</f>
        <v>284</v>
      </c>
      <c r="G5927">
        <v>1</v>
      </c>
      <c r="H5927">
        <v>2023</v>
      </c>
      <c r="I5927" t="s">
        <v>6042</v>
      </c>
    </row>
    <row r="5928" spans="1:9" x14ac:dyDescent="0.3">
      <c r="A5928" t="s">
        <v>10156</v>
      </c>
      <c r="B5928" t="s">
        <v>48</v>
      </c>
      <c r="C5928">
        <v>7648876604</v>
      </c>
      <c r="D5928" s="2">
        <v>1</v>
      </c>
      <c r="E5928" t="str">
        <f>"4574674200814358"</f>
        <v>4574674200814358</v>
      </c>
      <c r="F5928" t="str">
        <f>"350"</f>
        <v>350</v>
      </c>
      <c r="G5928">
        <v>1</v>
      </c>
      <c r="H5928">
        <v>2023</v>
      </c>
      <c r="I5928" t="s">
        <v>6043</v>
      </c>
    </row>
    <row r="5929" spans="1:9" x14ac:dyDescent="0.3">
      <c r="A5929" t="s">
        <v>10156</v>
      </c>
      <c r="B5929" t="s">
        <v>48</v>
      </c>
      <c r="C5929">
        <v>7648876604</v>
      </c>
      <c r="D5929" s="2">
        <v>1</v>
      </c>
      <c r="E5929" t="str">
        <f>"4574674200814598"</f>
        <v>4574674200814598</v>
      </c>
      <c r="F5929" t="str">
        <f>"620"</f>
        <v>620</v>
      </c>
      <c r="G5929">
        <v>1</v>
      </c>
      <c r="H5929">
        <v>2023</v>
      </c>
      <c r="I5929" t="s">
        <v>6044</v>
      </c>
    </row>
    <row r="5930" spans="1:9" x14ac:dyDescent="0.3">
      <c r="A5930" t="s">
        <v>10156</v>
      </c>
      <c r="B5930" t="s">
        <v>48</v>
      </c>
      <c r="C5930">
        <v>7648876604</v>
      </c>
      <c r="D5930" s="2">
        <v>1</v>
      </c>
      <c r="E5930" t="str">
        <f>"4574674200814606"</f>
        <v>4574674200814606</v>
      </c>
      <c r="F5930" t="str">
        <f>"615"</f>
        <v>615</v>
      </c>
      <c r="G5930">
        <v>1</v>
      </c>
      <c r="H5930">
        <v>2023</v>
      </c>
      <c r="I5930" t="s">
        <v>6045</v>
      </c>
    </row>
    <row r="5931" spans="1:9" x14ac:dyDescent="0.3">
      <c r="A5931" t="s">
        <v>10156</v>
      </c>
      <c r="B5931" t="s">
        <v>48</v>
      </c>
      <c r="C5931">
        <v>7648876604</v>
      </c>
      <c r="D5931" s="2">
        <v>1</v>
      </c>
      <c r="E5931" t="str">
        <f>"4574674200814382"</f>
        <v>4574674200814382</v>
      </c>
      <c r="F5931" t="str">
        <f>"953"</f>
        <v>953</v>
      </c>
      <c r="G5931">
        <v>1</v>
      </c>
      <c r="H5931">
        <v>2023</v>
      </c>
      <c r="I5931" t="s">
        <v>6046</v>
      </c>
    </row>
    <row r="5932" spans="1:9" x14ac:dyDescent="0.3">
      <c r="A5932" t="s">
        <v>10156</v>
      </c>
      <c r="B5932" t="s">
        <v>48</v>
      </c>
      <c r="C5932">
        <v>7648876604</v>
      </c>
      <c r="D5932" s="2">
        <v>1</v>
      </c>
      <c r="E5932" t="str">
        <f>"4574674200814390"</f>
        <v>4574674200814390</v>
      </c>
      <c r="F5932" t="str">
        <f>"758"</f>
        <v>758</v>
      </c>
      <c r="G5932">
        <v>1</v>
      </c>
      <c r="H5932">
        <v>2023</v>
      </c>
      <c r="I5932" t="s">
        <v>6047</v>
      </c>
    </row>
    <row r="5933" spans="1:9" x14ac:dyDescent="0.3">
      <c r="A5933" t="s">
        <v>10156</v>
      </c>
      <c r="B5933" t="s">
        <v>48</v>
      </c>
      <c r="C5933">
        <v>7648876604</v>
      </c>
      <c r="D5933" s="2">
        <v>1</v>
      </c>
      <c r="E5933" t="str">
        <f>"4574674200814879"</f>
        <v>4574674200814879</v>
      </c>
      <c r="F5933" t="str">
        <f>"557"</f>
        <v>557</v>
      </c>
      <c r="G5933">
        <v>1</v>
      </c>
      <c r="H5933">
        <v>2023</v>
      </c>
      <c r="I5933" t="s">
        <v>6048</v>
      </c>
    </row>
    <row r="5934" spans="1:9" x14ac:dyDescent="0.3">
      <c r="A5934" t="s">
        <v>10156</v>
      </c>
      <c r="B5934" t="s">
        <v>48</v>
      </c>
      <c r="C5934">
        <v>7648876604</v>
      </c>
      <c r="D5934" s="2">
        <v>1</v>
      </c>
      <c r="E5934" t="str">
        <f>"4574674200814838"</f>
        <v>4574674200814838</v>
      </c>
      <c r="F5934" t="str">
        <f>"085"</f>
        <v>085</v>
      </c>
      <c r="G5934">
        <v>1</v>
      </c>
      <c r="H5934">
        <v>2023</v>
      </c>
      <c r="I5934" t="s">
        <v>6049</v>
      </c>
    </row>
    <row r="5935" spans="1:9" x14ac:dyDescent="0.3">
      <c r="A5935" t="s">
        <v>10156</v>
      </c>
      <c r="B5935" t="s">
        <v>48</v>
      </c>
      <c r="C5935">
        <v>7648876604</v>
      </c>
      <c r="D5935" s="2">
        <v>1</v>
      </c>
      <c r="E5935" t="str">
        <f>"4574674200814812"</f>
        <v>4574674200814812</v>
      </c>
      <c r="F5935" t="str">
        <f>"261"</f>
        <v>261</v>
      </c>
      <c r="G5935">
        <v>1</v>
      </c>
      <c r="H5935">
        <v>2023</v>
      </c>
      <c r="I5935" t="s">
        <v>6050</v>
      </c>
    </row>
    <row r="5936" spans="1:9" x14ac:dyDescent="0.3">
      <c r="A5936" t="s">
        <v>10156</v>
      </c>
      <c r="B5936" t="s">
        <v>48</v>
      </c>
      <c r="C5936">
        <v>7648876604</v>
      </c>
      <c r="D5936" s="2">
        <v>1</v>
      </c>
      <c r="E5936" t="str">
        <f>"4574674200814929"</f>
        <v>4574674200814929</v>
      </c>
      <c r="F5936" t="str">
        <f>"139"</f>
        <v>139</v>
      </c>
      <c r="G5936">
        <v>1</v>
      </c>
      <c r="H5936">
        <v>2023</v>
      </c>
      <c r="I5936" t="s">
        <v>6051</v>
      </c>
    </row>
    <row r="5937" spans="1:9" x14ac:dyDescent="0.3">
      <c r="A5937" t="s">
        <v>10156</v>
      </c>
      <c r="B5937" t="s">
        <v>48</v>
      </c>
      <c r="C5937">
        <v>7648876604</v>
      </c>
      <c r="D5937" s="2">
        <v>1</v>
      </c>
      <c r="E5937" t="str">
        <f>"4574674200814747"</f>
        <v>4574674200814747</v>
      </c>
      <c r="F5937" t="str">
        <f>"794"</f>
        <v>794</v>
      </c>
      <c r="G5937">
        <v>1</v>
      </c>
      <c r="H5937">
        <v>2023</v>
      </c>
      <c r="I5937" t="s">
        <v>6052</v>
      </c>
    </row>
    <row r="5938" spans="1:9" x14ac:dyDescent="0.3">
      <c r="A5938" t="s">
        <v>10139</v>
      </c>
      <c r="B5938" t="s">
        <v>31</v>
      </c>
      <c r="C5938">
        <v>7648876604</v>
      </c>
      <c r="D5938" s="2">
        <v>1</v>
      </c>
      <c r="E5938" t="str">
        <f>"4574674200814952"</f>
        <v>4574674200814952</v>
      </c>
      <c r="F5938" t="str">
        <f>"139"</f>
        <v>139</v>
      </c>
      <c r="G5938">
        <v>1</v>
      </c>
      <c r="H5938">
        <v>2023</v>
      </c>
      <c r="I5938" t="s">
        <v>6053</v>
      </c>
    </row>
    <row r="5939" spans="1:9" x14ac:dyDescent="0.3">
      <c r="A5939" t="s">
        <v>10139</v>
      </c>
      <c r="B5939" t="s">
        <v>31</v>
      </c>
      <c r="C5939">
        <v>7648876604</v>
      </c>
      <c r="D5939" s="2">
        <v>1</v>
      </c>
      <c r="E5939" t="str">
        <f>"4574674200814978"</f>
        <v>4574674200814978</v>
      </c>
      <c r="F5939" t="str">
        <f>"597"</f>
        <v>597</v>
      </c>
      <c r="G5939">
        <v>1</v>
      </c>
      <c r="H5939">
        <v>2023</v>
      </c>
      <c r="I5939" t="s">
        <v>6054</v>
      </c>
    </row>
    <row r="5940" spans="1:9" x14ac:dyDescent="0.3">
      <c r="A5940" t="s">
        <v>10139</v>
      </c>
      <c r="B5940" t="s">
        <v>31</v>
      </c>
      <c r="C5940">
        <v>7648876604</v>
      </c>
      <c r="D5940" s="2">
        <v>1</v>
      </c>
      <c r="E5940" t="str">
        <f>"4574674200815009"</f>
        <v>4574674200815009</v>
      </c>
      <c r="F5940" t="str">
        <f>"383"</f>
        <v>383</v>
      </c>
      <c r="G5940">
        <v>1</v>
      </c>
      <c r="H5940">
        <v>2023</v>
      </c>
      <c r="I5940" t="s">
        <v>6055</v>
      </c>
    </row>
    <row r="5941" spans="1:9" x14ac:dyDescent="0.3">
      <c r="A5941" t="s">
        <v>10139</v>
      </c>
      <c r="B5941" t="s">
        <v>31</v>
      </c>
      <c r="C5941">
        <v>7648876604</v>
      </c>
      <c r="D5941" s="2">
        <v>1</v>
      </c>
      <c r="E5941" t="str">
        <f>"4574674200815025"</f>
        <v>4574674200815025</v>
      </c>
      <c r="F5941" t="str">
        <f>"309"</f>
        <v>309</v>
      </c>
      <c r="G5941">
        <v>1</v>
      </c>
      <c r="H5941">
        <v>2023</v>
      </c>
      <c r="I5941" t="s">
        <v>6056</v>
      </c>
    </row>
    <row r="5942" spans="1:9" x14ac:dyDescent="0.3">
      <c r="A5942" t="s">
        <v>10139</v>
      </c>
      <c r="B5942" t="s">
        <v>31</v>
      </c>
      <c r="C5942">
        <v>7648876604</v>
      </c>
      <c r="D5942" s="2">
        <v>1</v>
      </c>
      <c r="E5942" t="str">
        <f>"4574674200815033"</f>
        <v>4574674200815033</v>
      </c>
      <c r="F5942" t="str">
        <f>"202"</f>
        <v>202</v>
      </c>
      <c r="G5942">
        <v>1</v>
      </c>
      <c r="H5942">
        <v>2023</v>
      </c>
      <c r="I5942" t="s">
        <v>6057</v>
      </c>
    </row>
    <row r="5943" spans="1:9" x14ac:dyDescent="0.3">
      <c r="A5943" t="s">
        <v>10139</v>
      </c>
      <c r="B5943" t="s">
        <v>31</v>
      </c>
      <c r="C5943">
        <v>7648876604</v>
      </c>
      <c r="D5943" s="2">
        <v>1</v>
      </c>
      <c r="E5943" t="str">
        <f>"4574674200814796"</f>
        <v>4574674200814796</v>
      </c>
      <c r="F5943" t="str">
        <f>"412"</f>
        <v>412</v>
      </c>
      <c r="G5943">
        <v>1</v>
      </c>
      <c r="H5943">
        <v>2023</v>
      </c>
      <c r="I5943" t="s">
        <v>6058</v>
      </c>
    </row>
    <row r="5944" spans="1:9" x14ac:dyDescent="0.3">
      <c r="A5944" t="s">
        <v>10139</v>
      </c>
      <c r="B5944" t="s">
        <v>31</v>
      </c>
      <c r="C5944">
        <v>7648876604</v>
      </c>
      <c r="D5944" s="2">
        <v>1</v>
      </c>
      <c r="E5944" t="str">
        <f>"4574674200815215"</f>
        <v>4574674200815215</v>
      </c>
      <c r="F5944" t="str">
        <f>"882"</f>
        <v>882</v>
      </c>
      <c r="G5944">
        <v>1</v>
      </c>
      <c r="H5944">
        <v>2023</v>
      </c>
      <c r="I5944" t="s">
        <v>6059</v>
      </c>
    </row>
    <row r="5945" spans="1:9" x14ac:dyDescent="0.3">
      <c r="A5945" t="s">
        <v>10139</v>
      </c>
      <c r="B5945" t="s">
        <v>31</v>
      </c>
      <c r="C5945">
        <v>7648876604</v>
      </c>
      <c r="D5945" s="2">
        <v>1</v>
      </c>
      <c r="E5945" t="str">
        <f>"4574674200815108"</f>
        <v>4574674200815108</v>
      </c>
      <c r="F5945" t="str">
        <f>"737"</f>
        <v>737</v>
      </c>
      <c r="G5945">
        <v>1</v>
      </c>
      <c r="H5945">
        <v>2023</v>
      </c>
      <c r="I5945" t="s">
        <v>6060</v>
      </c>
    </row>
    <row r="5946" spans="1:9" x14ac:dyDescent="0.3">
      <c r="A5946" t="s">
        <v>10139</v>
      </c>
      <c r="B5946" t="s">
        <v>31</v>
      </c>
      <c r="C5946">
        <v>7648876604</v>
      </c>
      <c r="D5946" s="2">
        <v>1</v>
      </c>
      <c r="E5946" t="str">
        <f>"4574674200815074"</f>
        <v>4574674200815074</v>
      </c>
      <c r="F5946" t="str">
        <f>"730"</f>
        <v>730</v>
      </c>
      <c r="G5946">
        <v>1</v>
      </c>
      <c r="H5946">
        <v>2023</v>
      </c>
      <c r="I5946" t="s">
        <v>6061</v>
      </c>
    </row>
    <row r="5947" spans="1:9" x14ac:dyDescent="0.3">
      <c r="A5947" t="s">
        <v>10139</v>
      </c>
      <c r="B5947" t="s">
        <v>31</v>
      </c>
      <c r="C5947">
        <v>7648876604</v>
      </c>
      <c r="D5947" s="2">
        <v>1</v>
      </c>
      <c r="E5947" t="str">
        <f>"4574674200815124"</f>
        <v>4574674200815124</v>
      </c>
      <c r="F5947" t="str">
        <f>"861"</f>
        <v>861</v>
      </c>
      <c r="G5947">
        <v>1</v>
      </c>
      <c r="H5947">
        <v>2023</v>
      </c>
      <c r="I5947" t="s">
        <v>6062</v>
      </c>
    </row>
    <row r="5948" spans="1:9" x14ac:dyDescent="0.3">
      <c r="A5948" t="s">
        <v>10138</v>
      </c>
      <c r="B5948" t="s">
        <v>30</v>
      </c>
      <c r="C5948">
        <v>7648876604</v>
      </c>
      <c r="D5948" s="2">
        <v>1</v>
      </c>
      <c r="E5948" t="str">
        <f>"4574674200815132"</f>
        <v>4574674200815132</v>
      </c>
      <c r="F5948" t="str">
        <f>"548"</f>
        <v>548</v>
      </c>
      <c r="G5948">
        <v>1</v>
      </c>
      <c r="H5948">
        <v>2023</v>
      </c>
      <c r="I5948" t="s">
        <v>6063</v>
      </c>
    </row>
    <row r="5949" spans="1:9" x14ac:dyDescent="0.3">
      <c r="A5949" t="s">
        <v>10138</v>
      </c>
      <c r="B5949" t="s">
        <v>30</v>
      </c>
      <c r="C5949">
        <v>7648876604</v>
      </c>
      <c r="D5949" s="2">
        <v>1</v>
      </c>
      <c r="E5949" t="str">
        <f>"4574674200815272"</f>
        <v>4574674200815272</v>
      </c>
      <c r="F5949" t="str">
        <f>"522"</f>
        <v>522</v>
      </c>
      <c r="G5949">
        <v>1</v>
      </c>
      <c r="H5949">
        <v>2023</v>
      </c>
      <c r="I5949" t="s">
        <v>6064</v>
      </c>
    </row>
    <row r="5950" spans="1:9" x14ac:dyDescent="0.3">
      <c r="A5950" t="s">
        <v>10138</v>
      </c>
      <c r="B5950" t="s">
        <v>30</v>
      </c>
      <c r="C5950">
        <v>7648876604</v>
      </c>
      <c r="D5950" s="2">
        <v>1</v>
      </c>
      <c r="E5950" t="str">
        <f>"4574674200815157"</f>
        <v>4574674200815157</v>
      </c>
      <c r="F5950" t="str">
        <f>"911"</f>
        <v>911</v>
      </c>
      <c r="G5950">
        <v>1</v>
      </c>
      <c r="H5950">
        <v>2023</v>
      </c>
      <c r="I5950" t="s">
        <v>6065</v>
      </c>
    </row>
    <row r="5951" spans="1:9" x14ac:dyDescent="0.3">
      <c r="A5951" t="s">
        <v>10138</v>
      </c>
      <c r="B5951" t="s">
        <v>30</v>
      </c>
      <c r="C5951">
        <v>7648876604</v>
      </c>
      <c r="D5951" s="2">
        <v>1</v>
      </c>
      <c r="E5951" t="str">
        <f>"4574674200815173"</f>
        <v>4574674200815173</v>
      </c>
      <c r="F5951" t="str">
        <f>"857"</f>
        <v>857</v>
      </c>
      <c r="G5951">
        <v>1</v>
      </c>
      <c r="H5951">
        <v>2023</v>
      </c>
      <c r="I5951" t="s">
        <v>6066</v>
      </c>
    </row>
    <row r="5952" spans="1:9" x14ac:dyDescent="0.3">
      <c r="A5952" t="s">
        <v>10138</v>
      </c>
      <c r="B5952" t="s">
        <v>30</v>
      </c>
      <c r="C5952">
        <v>7648876604</v>
      </c>
      <c r="D5952" s="2">
        <v>1</v>
      </c>
      <c r="E5952" t="str">
        <f>"4574674200815405"</f>
        <v>4574674200815405</v>
      </c>
      <c r="F5952" t="str">
        <f>"014"</f>
        <v>014</v>
      </c>
      <c r="G5952">
        <v>1</v>
      </c>
      <c r="H5952">
        <v>2023</v>
      </c>
      <c r="I5952" t="s">
        <v>6067</v>
      </c>
    </row>
    <row r="5953" spans="1:9" x14ac:dyDescent="0.3">
      <c r="A5953" t="s">
        <v>10138</v>
      </c>
      <c r="B5953" t="s">
        <v>30</v>
      </c>
      <c r="C5953">
        <v>7648876604</v>
      </c>
      <c r="D5953" s="2">
        <v>1</v>
      </c>
      <c r="E5953" t="str">
        <f>"4574674200815421"</f>
        <v>4574674200815421</v>
      </c>
      <c r="F5953" t="str">
        <f>"066"</f>
        <v>066</v>
      </c>
      <c r="G5953">
        <v>1</v>
      </c>
      <c r="H5953">
        <v>2023</v>
      </c>
      <c r="I5953" t="s">
        <v>6068</v>
      </c>
    </row>
    <row r="5954" spans="1:9" x14ac:dyDescent="0.3">
      <c r="A5954" t="s">
        <v>10138</v>
      </c>
      <c r="B5954" t="s">
        <v>30</v>
      </c>
      <c r="C5954">
        <v>7648876604</v>
      </c>
      <c r="D5954" s="2">
        <v>1</v>
      </c>
      <c r="E5954" t="str">
        <f>"4574674200815348"</f>
        <v>4574674200815348</v>
      </c>
      <c r="F5954" t="str">
        <f>"775"</f>
        <v>775</v>
      </c>
      <c r="G5954">
        <v>1</v>
      </c>
      <c r="H5954">
        <v>2023</v>
      </c>
      <c r="I5954" t="s">
        <v>6069</v>
      </c>
    </row>
    <row r="5955" spans="1:9" x14ac:dyDescent="0.3">
      <c r="A5955" t="s">
        <v>10138</v>
      </c>
      <c r="B5955" t="s">
        <v>30</v>
      </c>
      <c r="C5955">
        <v>7648876604</v>
      </c>
      <c r="D5955" s="2">
        <v>1</v>
      </c>
      <c r="E5955" t="str">
        <f>"4574674200815470"</f>
        <v>4574674200815470</v>
      </c>
      <c r="F5955" t="str">
        <f>"053"</f>
        <v>053</v>
      </c>
      <c r="G5955">
        <v>1</v>
      </c>
      <c r="H5955">
        <v>2023</v>
      </c>
      <c r="I5955" t="s">
        <v>6070</v>
      </c>
    </row>
    <row r="5956" spans="1:9" x14ac:dyDescent="0.3">
      <c r="A5956" t="s">
        <v>10138</v>
      </c>
      <c r="B5956" t="s">
        <v>30</v>
      </c>
      <c r="C5956">
        <v>7648876604</v>
      </c>
      <c r="D5956" s="2">
        <v>1</v>
      </c>
      <c r="E5956" t="str">
        <f>"4574674200815447"</f>
        <v>4574674200815447</v>
      </c>
      <c r="F5956" t="str">
        <f>"086"</f>
        <v>086</v>
      </c>
      <c r="G5956">
        <v>1</v>
      </c>
      <c r="H5956">
        <v>2023</v>
      </c>
      <c r="I5956" t="s">
        <v>6071</v>
      </c>
    </row>
    <row r="5957" spans="1:9" x14ac:dyDescent="0.3">
      <c r="A5957" t="s">
        <v>10138</v>
      </c>
      <c r="B5957" t="s">
        <v>30</v>
      </c>
      <c r="C5957">
        <v>7648876604</v>
      </c>
      <c r="D5957" s="2">
        <v>1</v>
      </c>
      <c r="E5957" t="str">
        <f>"4574674200815488"</f>
        <v>4574674200815488</v>
      </c>
      <c r="F5957" t="str">
        <f>"012"</f>
        <v>012</v>
      </c>
      <c r="G5957">
        <v>1</v>
      </c>
      <c r="H5957">
        <v>2023</v>
      </c>
      <c r="I5957" t="s">
        <v>6072</v>
      </c>
    </row>
    <row r="5958" spans="1:9" x14ac:dyDescent="0.3">
      <c r="A5958" t="s">
        <v>10157</v>
      </c>
      <c r="B5958" t="s">
        <v>49</v>
      </c>
      <c r="C5958">
        <v>7648876604</v>
      </c>
      <c r="D5958" s="2">
        <v>1</v>
      </c>
      <c r="E5958" t="str">
        <f>"4574674200815520"</f>
        <v>4574674200815520</v>
      </c>
      <c r="F5958" t="str">
        <f>"342"</f>
        <v>342</v>
      </c>
      <c r="G5958">
        <v>1</v>
      </c>
      <c r="H5958">
        <v>2023</v>
      </c>
      <c r="I5958" t="s">
        <v>6073</v>
      </c>
    </row>
    <row r="5959" spans="1:9" x14ac:dyDescent="0.3">
      <c r="A5959" t="s">
        <v>10157</v>
      </c>
      <c r="B5959" t="s">
        <v>49</v>
      </c>
      <c r="C5959">
        <v>7648876604</v>
      </c>
      <c r="D5959" s="2">
        <v>1</v>
      </c>
      <c r="E5959" t="str">
        <f>"4574674200815538"</f>
        <v>4574674200815538</v>
      </c>
      <c r="F5959" t="str">
        <f>"092"</f>
        <v>092</v>
      </c>
      <c r="G5959">
        <v>1</v>
      </c>
      <c r="H5959">
        <v>2023</v>
      </c>
      <c r="I5959" t="s">
        <v>6074</v>
      </c>
    </row>
    <row r="5960" spans="1:9" x14ac:dyDescent="0.3">
      <c r="A5960" t="s">
        <v>10157</v>
      </c>
      <c r="B5960" t="s">
        <v>49</v>
      </c>
      <c r="C5960">
        <v>7648876604</v>
      </c>
      <c r="D5960" s="2">
        <v>1</v>
      </c>
      <c r="E5960" t="str">
        <f>"4574674200815686"</f>
        <v>4574674200815686</v>
      </c>
      <c r="F5960" t="str">
        <f>"243"</f>
        <v>243</v>
      </c>
      <c r="G5960">
        <v>1</v>
      </c>
      <c r="H5960">
        <v>2023</v>
      </c>
      <c r="I5960" t="s">
        <v>6075</v>
      </c>
    </row>
    <row r="5961" spans="1:9" x14ac:dyDescent="0.3">
      <c r="A5961" t="s">
        <v>10157</v>
      </c>
      <c r="B5961" t="s">
        <v>49</v>
      </c>
      <c r="C5961">
        <v>7648876604</v>
      </c>
      <c r="D5961" s="2">
        <v>1</v>
      </c>
      <c r="E5961" t="str">
        <f>"4574674200815702"</f>
        <v>4574674200815702</v>
      </c>
      <c r="F5961" t="str">
        <f>"282"</f>
        <v>282</v>
      </c>
      <c r="G5961">
        <v>1</v>
      </c>
      <c r="H5961">
        <v>2023</v>
      </c>
      <c r="I5961" t="s">
        <v>6076</v>
      </c>
    </row>
    <row r="5962" spans="1:9" x14ac:dyDescent="0.3">
      <c r="A5962" t="s">
        <v>10157</v>
      </c>
      <c r="B5962" t="s">
        <v>49</v>
      </c>
      <c r="C5962">
        <v>7648876604</v>
      </c>
      <c r="D5962" s="2">
        <v>1</v>
      </c>
      <c r="E5962" t="str">
        <f>"4574674200815579"</f>
        <v>4574674200815579</v>
      </c>
      <c r="F5962" t="str">
        <f>"044"</f>
        <v>044</v>
      </c>
      <c r="G5962">
        <v>1</v>
      </c>
      <c r="H5962">
        <v>2023</v>
      </c>
      <c r="I5962" t="s">
        <v>6077</v>
      </c>
    </row>
    <row r="5963" spans="1:9" x14ac:dyDescent="0.3">
      <c r="A5963" t="s">
        <v>10157</v>
      </c>
      <c r="B5963" t="s">
        <v>49</v>
      </c>
      <c r="C5963">
        <v>7648876604</v>
      </c>
      <c r="D5963" s="2">
        <v>1</v>
      </c>
      <c r="E5963" t="str">
        <f>"4574674200815819"</f>
        <v>4574674200815819</v>
      </c>
      <c r="F5963" t="str">
        <f>"368"</f>
        <v>368</v>
      </c>
      <c r="G5963">
        <v>1</v>
      </c>
      <c r="H5963">
        <v>2023</v>
      </c>
      <c r="I5963" t="s">
        <v>6078</v>
      </c>
    </row>
    <row r="5964" spans="1:9" x14ac:dyDescent="0.3">
      <c r="A5964" t="s">
        <v>10157</v>
      </c>
      <c r="B5964" t="s">
        <v>49</v>
      </c>
      <c r="C5964">
        <v>7648876604</v>
      </c>
      <c r="D5964" s="2">
        <v>1</v>
      </c>
      <c r="E5964" t="str">
        <f>"4574674200815835"</f>
        <v>4574674200815835</v>
      </c>
      <c r="F5964" t="str">
        <f>"578"</f>
        <v>578</v>
      </c>
      <c r="G5964">
        <v>1</v>
      </c>
      <c r="H5964">
        <v>2023</v>
      </c>
      <c r="I5964" t="s">
        <v>6079</v>
      </c>
    </row>
    <row r="5965" spans="1:9" x14ac:dyDescent="0.3">
      <c r="A5965" t="s">
        <v>10157</v>
      </c>
      <c r="B5965" t="s">
        <v>49</v>
      </c>
      <c r="C5965">
        <v>7648876604</v>
      </c>
      <c r="D5965" s="2">
        <v>1</v>
      </c>
      <c r="E5965" t="str">
        <f>"4574674200815843"</f>
        <v>4574674200815843</v>
      </c>
      <c r="F5965" t="str">
        <f>"712"</f>
        <v>712</v>
      </c>
      <c r="G5965">
        <v>1</v>
      </c>
      <c r="H5965">
        <v>2023</v>
      </c>
      <c r="I5965" t="s">
        <v>6080</v>
      </c>
    </row>
    <row r="5966" spans="1:9" x14ac:dyDescent="0.3">
      <c r="A5966" t="s">
        <v>10157</v>
      </c>
      <c r="B5966" t="s">
        <v>49</v>
      </c>
      <c r="C5966">
        <v>7648876604</v>
      </c>
      <c r="D5966" s="2">
        <v>1</v>
      </c>
      <c r="E5966" t="str">
        <f>"4574674200815868"</f>
        <v>4574674200815868</v>
      </c>
      <c r="F5966" t="str">
        <f>"071"</f>
        <v>071</v>
      </c>
      <c r="G5966">
        <v>1</v>
      </c>
      <c r="H5966">
        <v>2023</v>
      </c>
      <c r="I5966" t="s">
        <v>6081</v>
      </c>
    </row>
    <row r="5967" spans="1:9" x14ac:dyDescent="0.3">
      <c r="A5967" t="s">
        <v>10157</v>
      </c>
      <c r="B5967" t="s">
        <v>49</v>
      </c>
      <c r="C5967">
        <v>7648876604</v>
      </c>
      <c r="D5967" s="2">
        <v>1</v>
      </c>
      <c r="E5967" t="str">
        <f>"4574674200815777"</f>
        <v>4574674200815777</v>
      </c>
      <c r="F5967" t="str">
        <f>"601"</f>
        <v>601</v>
      </c>
      <c r="G5967">
        <v>1</v>
      </c>
      <c r="H5967">
        <v>2023</v>
      </c>
      <c r="I5967" t="s">
        <v>6082</v>
      </c>
    </row>
    <row r="5968" spans="1:9" x14ac:dyDescent="0.3">
      <c r="A5968" t="s">
        <v>10158</v>
      </c>
      <c r="B5968" t="s">
        <v>50</v>
      </c>
      <c r="C5968">
        <v>7648876604</v>
      </c>
      <c r="D5968" s="2">
        <v>1</v>
      </c>
      <c r="E5968" t="str">
        <f>"4574674200815793"</f>
        <v>4574674200815793</v>
      </c>
      <c r="F5968" t="str">
        <f>"693"</f>
        <v>693</v>
      </c>
      <c r="G5968">
        <v>1</v>
      </c>
      <c r="H5968">
        <v>2023</v>
      </c>
      <c r="I5968" t="s">
        <v>6083</v>
      </c>
    </row>
    <row r="5969" spans="1:9" x14ac:dyDescent="0.3">
      <c r="A5969" t="s">
        <v>10158</v>
      </c>
      <c r="B5969" t="s">
        <v>50</v>
      </c>
      <c r="C5969">
        <v>7648876604</v>
      </c>
      <c r="D5969" s="2">
        <v>1</v>
      </c>
      <c r="E5969" t="str">
        <f>"4574674200815884"</f>
        <v>4574674200815884</v>
      </c>
      <c r="F5969" t="str">
        <f>"256"</f>
        <v>256</v>
      </c>
      <c r="G5969">
        <v>1</v>
      </c>
      <c r="H5969">
        <v>2023</v>
      </c>
      <c r="I5969" t="s">
        <v>6084</v>
      </c>
    </row>
    <row r="5970" spans="1:9" x14ac:dyDescent="0.3">
      <c r="A5970" t="s">
        <v>10158</v>
      </c>
      <c r="B5970" t="s">
        <v>50</v>
      </c>
      <c r="C5970">
        <v>7648876604</v>
      </c>
      <c r="D5970" s="2">
        <v>1</v>
      </c>
      <c r="E5970" t="str">
        <f>"4574674200815918"</f>
        <v>4574674200815918</v>
      </c>
      <c r="F5970" t="str">
        <f>"137"</f>
        <v>137</v>
      </c>
      <c r="G5970">
        <v>1</v>
      </c>
      <c r="H5970">
        <v>2023</v>
      </c>
      <c r="I5970" t="s">
        <v>6085</v>
      </c>
    </row>
    <row r="5971" spans="1:9" x14ac:dyDescent="0.3">
      <c r="A5971" t="s">
        <v>10158</v>
      </c>
      <c r="B5971" t="s">
        <v>50</v>
      </c>
      <c r="C5971">
        <v>7648876604</v>
      </c>
      <c r="D5971" s="2">
        <v>1</v>
      </c>
      <c r="E5971" t="str">
        <f>"4574674200815934"</f>
        <v>4574674200815934</v>
      </c>
      <c r="F5971" t="str">
        <f>"513"</f>
        <v>513</v>
      </c>
      <c r="G5971">
        <v>1</v>
      </c>
      <c r="H5971">
        <v>2023</v>
      </c>
      <c r="I5971" t="s">
        <v>6086</v>
      </c>
    </row>
    <row r="5972" spans="1:9" x14ac:dyDescent="0.3">
      <c r="A5972" t="s">
        <v>10158</v>
      </c>
      <c r="B5972" t="s">
        <v>50</v>
      </c>
      <c r="C5972">
        <v>7648876604</v>
      </c>
      <c r="D5972" s="2">
        <v>1</v>
      </c>
      <c r="E5972" t="str">
        <f>"4574674200816114"</f>
        <v>4574674200816114</v>
      </c>
      <c r="F5972" t="str">
        <f>"352"</f>
        <v>352</v>
      </c>
      <c r="G5972">
        <v>1</v>
      </c>
      <c r="H5972">
        <v>2023</v>
      </c>
      <c r="I5972" t="s">
        <v>6087</v>
      </c>
    </row>
    <row r="5973" spans="1:9" x14ac:dyDescent="0.3">
      <c r="A5973" t="s">
        <v>10158</v>
      </c>
      <c r="B5973" t="s">
        <v>50</v>
      </c>
      <c r="C5973">
        <v>7648876604</v>
      </c>
      <c r="D5973" s="2">
        <v>1</v>
      </c>
      <c r="E5973" t="str">
        <f>"4574674200816122"</f>
        <v>4574674200816122</v>
      </c>
      <c r="F5973" t="str">
        <f>"983"</f>
        <v>983</v>
      </c>
      <c r="G5973">
        <v>1</v>
      </c>
      <c r="H5973">
        <v>2023</v>
      </c>
      <c r="I5973" t="s">
        <v>6088</v>
      </c>
    </row>
    <row r="5974" spans="1:9" x14ac:dyDescent="0.3">
      <c r="A5974" t="s">
        <v>10158</v>
      </c>
      <c r="B5974" t="s">
        <v>50</v>
      </c>
      <c r="C5974">
        <v>7648876604</v>
      </c>
      <c r="D5974" s="2">
        <v>1</v>
      </c>
      <c r="E5974" t="str">
        <f>"4574674200815942"</f>
        <v>4574674200815942</v>
      </c>
      <c r="F5974" t="str">
        <f>"164"</f>
        <v>164</v>
      </c>
      <c r="G5974">
        <v>1</v>
      </c>
      <c r="H5974">
        <v>2023</v>
      </c>
      <c r="I5974" t="s">
        <v>6089</v>
      </c>
    </row>
    <row r="5975" spans="1:9" x14ac:dyDescent="0.3">
      <c r="A5975" t="s">
        <v>10158</v>
      </c>
      <c r="B5975" t="s">
        <v>50</v>
      </c>
      <c r="C5975">
        <v>7648876604</v>
      </c>
      <c r="D5975" s="2">
        <v>1</v>
      </c>
      <c r="E5975" t="str">
        <f>"4574674200815967"</f>
        <v>4574674200815967</v>
      </c>
      <c r="F5975" t="str">
        <f>"093"</f>
        <v>093</v>
      </c>
      <c r="G5975">
        <v>1</v>
      </c>
      <c r="H5975">
        <v>2023</v>
      </c>
      <c r="I5975" t="s">
        <v>6090</v>
      </c>
    </row>
    <row r="5976" spans="1:9" x14ac:dyDescent="0.3">
      <c r="A5976" t="s">
        <v>10158</v>
      </c>
      <c r="B5976" t="s">
        <v>50</v>
      </c>
      <c r="C5976">
        <v>7648876604</v>
      </c>
      <c r="D5976" s="2">
        <v>1</v>
      </c>
      <c r="E5976" t="str">
        <f>"4574674200815991"</f>
        <v>4574674200815991</v>
      </c>
      <c r="F5976" t="str">
        <f>"695"</f>
        <v>695</v>
      </c>
      <c r="G5976">
        <v>1</v>
      </c>
      <c r="H5976">
        <v>2023</v>
      </c>
      <c r="I5976" t="s">
        <v>6091</v>
      </c>
    </row>
    <row r="5977" spans="1:9" x14ac:dyDescent="0.3">
      <c r="A5977" t="s">
        <v>10158</v>
      </c>
      <c r="B5977" t="s">
        <v>50</v>
      </c>
      <c r="C5977">
        <v>7648876604</v>
      </c>
      <c r="D5977" s="2">
        <v>1</v>
      </c>
      <c r="E5977" t="str">
        <f>"4574674200816411"</f>
        <v>4574674200816411</v>
      </c>
      <c r="F5977" t="str">
        <f>"373"</f>
        <v>373</v>
      </c>
      <c r="G5977">
        <v>1</v>
      </c>
      <c r="H5977">
        <v>2023</v>
      </c>
      <c r="I5977" t="s">
        <v>6092</v>
      </c>
    </row>
    <row r="5978" spans="1:9" x14ac:dyDescent="0.3">
      <c r="A5978" t="s">
        <v>10159</v>
      </c>
      <c r="B5978" t="s">
        <v>51</v>
      </c>
      <c r="C5978">
        <v>7648876604</v>
      </c>
      <c r="D5978" s="2">
        <v>1</v>
      </c>
      <c r="E5978" t="str">
        <f>"4574674200816429"</f>
        <v>4574674200816429</v>
      </c>
      <c r="F5978" t="str">
        <f>"045"</f>
        <v>045</v>
      </c>
      <c r="G5978">
        <v>1</v>
      </c>
      <c r="H5978">
        <v>2023</v>
      </c>
      <c r="I5978" t="s">
        <v>6093</v>
      </c>
    </row>
    <row r="5979" spans="1:9" x14ac:dyDescent="0.3">
      <c r="A5979" t="s">
        <v>10159</v>
      </c>
      <c r="B5979" t="s">
        <v>51</v>
      </c>
      <c r="C5979">
        <v>7648876604</v>
      </c>
      <c r="D5979" s="2">
        <v>1</v>
      </c>
      <c r="E5979" t="str">
        <f>"4574674200816445"</f>
        <v>4574674200816445</v>
      </c>
      <c r="F5979" t="str">
        <f>"278"</f>
        <v>278</v>
      </c>
      <c r="G5979">
        <v>1</v>
      </c>
      <c r="H5979">
        <v>2023</v>
      </c>
      <c r="I5979" t="s">
        <v>6094</v>
      </c>
    </row>
    <row r="5980" spans="1:9" x14ac:dyDescent="0.3">
      <c r="A5980" t="s">
        <v>10159</v>
      </c>
      <c r="B5980" t="s">
        <v>51</v>
      </c>
      <c r="C5980">
        <v>7648876604</v>
      </c>
      <c r="D5980" s="2">
        <v>1</v>
      </c>
      <c r="E5980" t="str">
        <f>"4574674200816494"</f>
        <v>4574674200816494</v>
      </c>
      <c r="F5980" t="str">
        <f>"943"</f>
        <v>943</v>
      </c>
      <c r="G5980">
        <v>1</v>
      </c>
      <c r="H5980">
        <v>2023</v>
      </c>
      <c r="I5980" t="s">
        <v>6095</v>
      </c>
    </row>
    <row r="5981" spans="1:9" x14ac:dyDescent="0.3">
      <c r="A5981" t="s">
        <v>10159</v>
      </c>
      <c r="B5981" t="s">
        <v>51</v>
      </c>
      <c r="C5981">
        <v>7648876604</v>
      </c>
      <c r="D5981" s="2">
        <v>1</v>
      </c>
      <c r="E5981" t="str">
        <f>"4574674200816262"</f>
        <v>4574674200816262</v>
      </c>
      <c r="F5981" t="str">
        <f>"001"</f>
        <v>001</v>
      </c>
      <c r="G5981">
        <v>1</v>
      </c>
      <c r="H5981">
        <v>2023</v>
      </c>
      <c r="I5981" t="s">
        <v>6096</v>
      </c>
    </row>
    <row r="5982" spans="1:9" x14ac:dyDescent="0.3">
      <c r="A5982" t="s">
        <v>10159</v>
      </c>
      <c r="B5982" t="s">
        <v>51</v>
      </c>
      <c r="C5982">
        <v>7648876604</v>
      </c>
      <c r="D5982" s="2">
        <v>1</v>
      </c>
      <c r="E5982" t="str">
        <f>"4574674200816361"</f>
        <v>4574674200816361</v>
      </c>
      <c r="F5982" t="str">
        <f>"701"</f>
        <v>701</v>
      </c>
      <c r="G5982">
        <v>1</v>
      </c>
      <c r="H5982">
        <v>2023</v>
      </c>
      <c r="I5982" t="s">
        <v>6097</v>
      </c>
    </row>
    <row r="5983" spans="1:9" x14ac:dyDescent="0.3">
      <c r="A5983" t="s">
        <v>10159</v>
      </c>
      <c r="B5983" t="s">
        <v>51</v>
      </c>
      <c r="C5983">
        <v>7648876604</v>
      </c>
      <c r="D5983" s="2">
        <v>1</v>
      </c>
      <c r="E5983" t="str">
        <f>"4574674200816569"</f>
        <v>4574674200816569</v>
      </c>
      <c r="F5983" t="str">
        <f>"673"</f>
        <v>673</v>
      </c>
      <c r="G5983">
        <v>1</v>
      </c>
      <c r="H5983">
        <v>2023</v>
      </c>
      <c r="I5983" t="s">
        <v>6098</v>
      </c>
    </row>
    <row r="5984" spans="1:9" x14ac:dyDescent="0.3">
      <c r="A5984" t="s">
        <v>10159</v>
      </c>
      <c r="B5984" t="s">
        <v>51</v>
      </c>
      <c r="C5984">
        <v>7648876604</v>
      </c>
      <c r="D5984" s="2">
        <v>1</v>
      </c>
      <c r="E5984" t="str">
        <f>"4574674200816536"</f>
        <v>4574674200816536</v>
      </c>
      <c r="F5984" t="str">
        <f>"176"</f>
        <v>176</v>
      </c>
      <c r="G5984">
        <v>1</v>
      </c>
      <c r="H5984">
        <v>2023</v>
      </c>
      <c r="I5984" t="s">
        <v>6099</v>
      </c>
    </row>
    <row r="5985" spans="1:9" x14ac:dyDescent="0.3">
      <c r="A5985" t="s">
        <v>10159</v>
      </c>
      <c r="B5985" t="s">
        <v>51</v>
      </c>
      <c r="C5985">
        <v>7648876604</v>
      </c>
      <c r="D5985" s="2">
        <v>1</v>
      </c>
      <c r="E5985" t="str">
        <f>"4574674200816585"</f>
        <v>4574674200816585</v>
      </c>
      <c r="F5985" t="str">
        <f>"866"</f>
        <v>866</v>
      </c>
      <c r="G5985">
        <v>1</v>
      </c>
      <c r="H5985">
        <v>2023</v>
      </c>
      <c r="I5985" t="s">
        <v>6100</v>
      </c>
    </row>
    <row r="5986" spans="1:9" x14ac:dyDescent="0.3">
      <c r="A5986" t="s">
        <v>10159</v>
      </c>
      <c r="B5986" t="s">
        <v>51</v>
      </c>
      <c r="C5986">
        <v>7648876604</v>
      </c>
      <c r="D5986" s="2">
        <v>1</v>
      </c>
      <c r="E5986" t="str">
        <f>"4574674200816627"</f>
        <v>4574674200816627</v>
      </c>
      <c r="F5986" t="str">
        <f>"781"</f>
        <v>781</v>
      </c>
      <c r="G5986">
        <v>1</v>
      </c>
      <c r="H5986">
        <v>2023</v>
      </c>
      <c r="I5986" t="s">
        <v>6101</v>
      </c>
    </row>
    <row r="5987" spans="1:9" x14ac:dyDescent="0.3">
      <c r="A5987" t="s">
        <v>10159</v>
      </c>
      <c r="B5987" t="s">
        <v>51</v>
      </c>
      <c r="C5987">
        <v>7648876604</v>
      </c>
      <c r="D5987" s="2">
        <v>1</v>
      </c>
      <c r="E5987" t="str">
        <f>"4574674200816817"</f>
        <v>4574674200816817</v>
      </c>
      <c r="F5987" t="str">
        <f>"640"</f>
        <v>640</v>
      </c>
      <c r="G5987">
        <v>1</v>
      </c>
      <c r="H5987">
        <v>2023</v>
      </c>
      <c r="I5987" t="s">
        <v>6102</v>
      </c>
    </row>
    <row r="5988" spans="1:9" x14ac:dyDescent="0.3">
      <c r="A5988" t="s">
        <v>10130</v>
      </c>
      <c r="B5988" t="s">
        <v>22</v>
      </c>
      <c r="C5988">
        <v>7648876604</v>
      </c>
      <c r="D5988" s="2">
        <v>1</v>
      </c>
      <c r="E5988" t="str">
        <f>"4574674200816668"</f>
        <v>4574674200816668</v>
      </c>
      <c r="F5988" t="str">
        <f>"289"</f>
        <v>289</v>
      </c>
      <c r="G5988">
        <v>1</v>
      </c>
      <c r="H5988">
        <v>2023</v>
      </c>
      <c r="I5988" t="s">
        <v>6103</v>
      </c>
    </row>
    <row r="5989" spans="1:9" x14ac:dyDescent="0.3">
      <c r="A5989" t="s">
        <v>10130</v>
      </c>
      <c r="B5989" t="s">
        <v>22</v>
      </c>
      <c r="C5989">
        <v>7648876604</v>
      </c>
      <c r="D5989" s="2">
        <v>1</v>
      </c>
      <c r="E5989" t="str">
        <f>"4574674200816650"</f>
        <v>4574674200816650</v>
      </c>
      <c r="F5989" t="str">
        <f>"048"</f>
        <v>048</v>
      </c>
      <c r="G5989">
        <v>1</v>
      </c>
      <c r="H5989">
        <v>2023</v>
      </c>
      <c r="I5989" t="s">
        <v>6104</v>
      </c>
    </row>
    <row r="5990" spans="1:9" x14ac:dyDescent="0.3">
      <c r="A5990" t="s">
        <v>10130</v>
      </c>
      <c r="B5990" t="s">
        <v>22</v>
      </c>
      <c r="C5990">
        <v>7648876604</v>
      </c>
      <c r="D5990" s="2">
        <v>1</v>
      </c>
      <c r="E5990" t="str">
        <f>"4574674200816924"</f>
        <v>4574674200816924</v>
      </c>
      <c r="F5990" t="str">
        <f>"872"</f>
        <v>872</v>
      </c>
      <c r="G5990">
        <v>1</v>
      </c>
      <c r="H5990">
        <v>2023</v>
      </c>
      <c r="I5990" t="s">
        <v>6105</v>
      </c>
    </row>
    <row r="5991" spans="1:9" x14ac:dyDescent="0.3">
      <c r="A5991" t="s">
        <v>10130</v>
      </c>
      <c r="B5991" t="s">
        <v>22</v>
      </c>
      <c r="C5991">
        <v>7648876604</v>
      </c>
      <c r="D5991" s="2">
        <v>1</v>
      </c>
      <c r="E5991" t="str">
        <f>"4574674200816726"</f>
        <v>4574674200816726</v>
      </c>
      <c r="F5991" t="str">
        <f>"722"</f>
        <v>722</v>
      </c>
      <c r="G5991">
        <v>1</v>
      </c>
      <c r="H5991">
        <v>2023</v>
      </c>
      <c r="I5991" t="s">
        <v>6106</v>
      </c>
    </row>
    <row r="5992" spans="1:9" x14ac:dyDescent="0.3">
      <c r="A5992" t="s">
        <v>10130</v>
      </c>
      <c r="B5992" t="s">
        <v>22</v>
      </c>
      <c r="C5992">
        <v>7648876604</v>
      </c>
      <c r="D5992" s="2">
        <v>1</v>
      </c>
      <c r="E5992" t="str">
        <f>"4574674200817005"</f>
        <v>4574674200817005</v>
      </c>
      <c r="F5992" t="str">
        <f>"279"</f>
        <v>279</v>
      </c>
      <c r="G5992">
        <v>1</v>
      </c>
      <c r="H5992">
        <v>2023</v>
      </c>
      <c r="I5992" t="s">
        <v>6107</v>
      </c>
    </row>
    <row r="5993" spans="1:9" x14ac:dyDescent="0.3">
      <c r="A5993" t="s">
        <v>10130</v>
      </c>
      <c r="B5993" t="s">
        <v>22</v>
      </c>
      <c r="C5993">
        <v>7648876604</v>
      </c>
      <c r="D5993" s="2">
        <v>1</v>
      </c>
      <c r="E5993" t="str">
        <f>"4574674200816767"</f>
        <v>4574674200816767</v>
      </c>
      <c r="F5993" t="str">
        <f>"570"</f>
        <v>570</v>
      </c>
      <c r="G5993">
        <v>1</v>
      </c>
      <c r="H5993">
        <v>2023</v>
      </c>
      <c r="I5993" t="s">
        <v>6108</v>
      </c>
    </row>
    <row r="5994" spans="1:9" x14ac:dyDescent="0.3">
      <c r="A5994" t="s">
        <v>10130</v>
      </c>
      <c r="B5994" t="s">
        <v>22</v>
      </c>
      <c r="C5994">
        <v>7648876604</v>
      </c>
      <c r="D5994" s="2">
        <v>1</v>
      </c>
      <c r="E5994" t="str">
        <f>"4574674200817088"</f>
        <v>4574674200817088</v>
      </c>
      <c r="F5994" t="str">
        <f>"407"</f>
        <v>407</v>
      </c>
      <c r="G5994">
        <v>1</v>
      </c>
      <c r="H5994">
        <v>2023</v>
      </c>
      <c r="I5994" t="s">
        <v>6109</v>
      </c>
    </row>
    <row r="5995" spans="1:9" x14ac:dyDescent="0.3">
      <c r="A5995" t="s">
        <v>10130</v>
      </c>
      <c r="B5995" t="s">
        <v>22</v>
      </c>
      <c r="C5995">
        <v>7648876604</v>
      </c>
      <c r="D5995" s="2">
        <v>1</v>
      </c>
      <c r="E5995" t="str">
        <f>"4574674200817419"</f>
        <v>4574674200817419</v>
      </c>
      <c r="F5995" t="str">
        <f>"069"</f>
        <v>069</v>
      </c>
      <c r="G5995">
        <v>1</v>
      </c>
      <c r="H5995">
        <v>2023</v>
      </c>
      <c r="I5995" t="s">
        <v>6110</v>
      </c>
    </row>
    <row r="5996" spans="1:9" x14ac:dyDescent="0.3">
      <c r="A5996" t="s">
        <v>10130</v>
      </c>
      <c r="B5996" t="s">
        <v>22</v>
      </c>
      <c r="C5996">
        <v>7648876604</v>
      </c>
      <c r="D5996" s="2">
        <v>1</v>
      </c>
      <c r="E5996" t="str">
        <f>"4574674200817302"</f>
        <v>4574674200817302</v>
      </c>
      <c r="F5996" t="str">
        <f>"468"</f>
        <v>468</v>
      </c>
      <c r="G5996">
        <v>1</v>
      </c>
      <c r="H5996">
        <v>2023</v>
      </c>
      <c r="I5996" t="s">
        <v>6111</v>
      </c>
    </row>
    <row r="5997" spans="1:9" x14ac:dyDescent="0.3">
      <c r="A5997" t="s">
        <v>10130</v>
      </c>
      <c r="B5997" t="s">
        <v>22</v>
      </c>
      <c r="C5997">
        <v>7648876604</v>
      </c>
      <c r="D5997" s="2">
        <v>1</v>
      </c>
      <c r="E5997" t="str">
        <f>"4574674200817294"</f>
        <v>4574674200817294</v>
      </c>
      <c r="F5997" t="str">
        <f>"009"</f>
        <v>009</v>
      </c>
      <c r="G5997">
        <v>1</v>
      </c>
      <c r="H5997">
        <v>2023</v>
      </c>
      <c r="I5997" t="s">
        <v>6112</v>
      </c>
    </row>
    <row r="5998" spans="1:9" x14ac:dyDescent="0.3">
      <c r="A5998" t="s">
        <v>10132</v>
      </c>
      <c r="B5998" t="s">
        <v>24</v>
      </c>
      <c r="C5998">
        <v>7648876604</v>
      </c>
      <c r="D5998" s="2">
        <v>1</v>
      </c>
      <c r="E5998" t="str">
        <f>"4574674200817310"</f>
        <v>4574674200817310</v>
      </c>
      <c r="F5998" t="str">
        <f>"124"</f>
        <v>124</v>
      </c>
      <c r="G5998">
        <v>1</v>
      </c>
      <c r="H5998">
        <v>2023</v>
      </c>
      <c r="I5998" t="s">
        <v>6113</v>
      </c>
    </row>
    <row r="5999" spans="1:9" x14ac:dyDescent="0.3">
      <c r="A5999" t="s">
        <v>10132</v>
      </c>
      <c r="B5999" t="s">
        <v>24</v>
      </c>
      <c r="C5999">
        <v>7648876604</v>
      </c>
      <c r="D5999" s="2">
        <v>1</v>
      </c>
      <c r="E5999" t="str">
        <f>"4574674200817328"</f>
        <v>4574674200817328</v>
      </c>
      <c r="F5999" t="str">
        <f>"580"</f>
        <v>580</v>
      </c>
      <c r="G5999">
        <v>1</v>
      </c>
      <c r="H5999">
        <v>2023</v>
      </c>
      <c r="I5999" t="s">
        <v>6114</v>
      </c>
    </row>
    <row r="6000" spans="1:9" x14ac:dyDescent="0.3">
      <c r="A6000" t="s">
        <v>10132</v>
      </c>
      <c r="B6000" t="s">
        <v>24</v>
      </c>
      <c r="C6000">
        <v>7648876604</v>
      </c>
      <c r="D6000" s="2">
        <v>1</v>
      </c>
      <c r="E6000" t="str">
        <f>"4574674200817484"</f>
        <v>4574674200817484</v>
      </c>
      <c r="F6000" t="str">
        <f>"064"</f>
        <v>064</v>
      </c>
      <c r="G6000">
        <v>1</v>
      </c>
      <c r="H6000">
        <v>2023</v>
      </c>
      <c r="I6000" t="s">
        <v>6115</v>
      </c>
    </row>
    <row r="6001" spans="1:9" x14ac:dyDescent="0.3">
      <c r="A6001" t="s">
        <v>10132</v>
      </c>
      <c r="B6001" t="s">
        <v>24</v>
      </c>
      <c r="C6001">
        <v>7648876604</v>
      </c>
      <c r="D6001" s="2">
        <v>1</v>
      </c>
      <c r="E6001" t="str">
        <f>"4574674200817450"</f>
        <v>4574674200817450</v>
      </c>
      <c r="F6001" t="str">
        <f>"414"</f>
        <v>414</v>
      </c>
      <c r="G6001">
        <v>1</v>
      </c>
      <c r="H6001">
        <v>2023</v>
      </c>
      <c r="I6001" t="s">
        <v>6116</v>
      </c>
    </row>
    <row r="6002" spans="1:9" x14ac:dyDescent="0.3">
      <c r="A6002" t="s">
        <v>10132</v>
      </c>
      <c r="B6002" t="s">
        <v>24</v>
      </c>
      <c r="C6002">
        <v>7648876604</v>
      </c>
      <c r="D6002" s="2">
        <v>1</v>
      </c>
      <c r="E6002" t="str">
        <f>"4574674200817344"</f>
        <v>4574674200817344</v>
      </c>
      <c r="F6002" t="str">
        <f>"792"</f>
        <v>792</v>
      </c>
      <c r="G6002">
        <v>1</v>
      </c>
      <c r="H6002">
        <v>2023</v>
      </c>
      <c r="I6002" t="s">
        <v>6117</v>
      </c>
    </row>
    <row r="6003" spans="1:9" x14ac:dyDescent="0.3">
      <c r="A6003" t="s">
        <v>10132</v>
      </c>
      <c r="B6003" t="s">
        <v>24</v>
      </c>
      <c r="C6003">
        <v>7648876604</v>
      </c>
      <c r="D6003" s="2">
        <v>1</v>
      </c>
      <c r="E6003" t="str">
        <f>"4574674200817609"</f>
        <v>4574674200817609</v>
      </c>
      <c r="F6003" t="str">
        <f>"407"</f>
        <v>407</v>
      </c>
      <c r="G6003">
        <v>1</v>
      </c>
      <c r="H6003">
        <v>2023</v>
      </c>
      <c r="I6003" t="s">
        <v>6118</v>
      </c>
    </row>
    <row r="6004" spans="1:9" x14ac:dyDescent="0.3">
      <c r="A6004" t="s">
        <v>10132</v>
      </c>
      <c r="B6004" t="s">
        <v>24</v>
      </c>
      <c r="C6004">
        <v>7648876604</v>
      </c>
      <c r="D6004" s="2">
        <v>1</v>
      </c>
      <c r="E6004" t="str">
        <f>"4574674200817385"</f>
        <v>4574674200817385</v>
      </c>
      <c r="F6004" t="str">
        <f>"033"</f>
        <v>033</v>
      </c>
      <c r="G6004">
        <v>1</v>
      </c>
      <c r="H6004">
        <v>2023</v>
      </c>
      <c r="I6004" t="s">
        <v>6119</v>
      </c>
    </row>
    <row r="6005" spans="1:9" x14ac:dyDescent="0.3">
      <c r="A6005" t="s">
        <v>10132</v>
      </c>
      <c r="B6005" t="s">
        <v>24</v>
      </c>
      <c r="C6005">
        <v>7648876604</v>
      </c>
      <c r="D6005" s="2">
        <v>1</v>
      </c>
      <c r="E6005" t="str">
        <f>"4574674200817823"</f>
        <v>4574674200817823</v>
      </c>
      <c r="F6005" t="str">
        <f>"299"</f>
        <v>299</v>
      </c>
      <c r="G6005">
        <v>1</v>
      </c>
      <c r="H6005">
        <v>2023</v>
      </c>
      <c r="I6005" t="s">
        <v>6120</v>
      </c>
    </row>
    <row r="6006" spans="1:9" x14ac:dyDescent="0.3">
      <c r="A6006" t="s">
        <v>10132</v>
      </c>
      <c r="B6006" t="s">
        <v>24</v>
      </c>
      <c r="C6006">
        <v>7648876604</v>
      </c>
      <c r="D6006" s="2">
        <v>1</v>
      </c>
      <c r="E6006" t="str">
        <f>"4574674200817807"</f>
        <v>4574674200817807</v>
      </c>
      <c r="F6006" t="str">
        <f>"122"</f>
        <v>122</v>
      </c>
      <c r="G6006">
        <v>1</v>
      </c>
      <c r="H6006">
        <v>2023</v>
      </c>
      <c r="I6006" t="s">
        <v>6121</v>
      </c>
    </row>
    <row r="6007" spans="1:9" x14ac:dyDescent="0.3">
      <c r="A6007" t="s">
        <v>10132</v>
      </c>
      <c r="B6007" t="s">
        <v>24</v>
      </c>
      <c r="C6007">
        <v>7648876604</v>
      </c>
      <c r="D6007" s="2">
        <v>1</v>
      </c>
      <c r="E6007" t="str">
        <f>"4574674200817682"</f>
        <v>4574674200817682</v>
      </c>
      <c r="F6007" t="str">
        <f>"568"</f>
        <v>568</v>
      </c>
      <c r="G6007">
        <v>1</v>
      </c>
      <c r="H6007">
        <v>2023</v>
      </c>
      <c r="I6007" t="s">
        <v>6122</v>
      </c>
    </row>
    <row r="6008" spans="1:9" x14ac:dyDescent="0.3">
      <c r="A6008" t="s">
        <v>10160</v>
      </c>
      <c r="B6008" t="s">
        <v>52</v>
      </c>
      <c r="C6008">
        <v>7648876604</v>
      </c>
      <c r="D6008" s="2">
        <v>1</v>
      </c>
      <c r="E6008" t="str">
        <f>"4574674200817856"</f>
        <v>4574674200817856</v>
      </c>
      <c r="F6008" t="str">
        <f>"706"</f>
        <v>706</v>
      </c>
      <c r="G6008">
        <v>1</v>
      </c>
      <c r="H6008">
        <v>2023</v>
      </c>
      <c r="I6008" t="s">
        <v>6123</v>
      </c>
    </row>
    <row r="6009" spans="1:9" x14ac:dyDescent="0.3">
      <c r="A6009" t="s">
        <v>10160</v>
      </c>
      <c r="B6009" t="s">
        <v>52</v>
      </c>
      <c r="C6009">
        <v>7648876604</v>
      </c>
      <c r="D6009" s="2">
        <v>1</v>
      </c>
      <c r="E6009" t="str">
        <f>"4574674200817765"</f>
        <v>4574674200817765</v>
      </c>
      <c r="F6009" t="str">
        <f>"535"</f>
        <v>535</v>
      </c>
      <c r="G6009">
        <v>1</v>
      </c>
      <c r="H6009">
        <v>2023</v>
      </c>
      <c r="I6009" t="s">
        <v>6124</v>
      </c>
    </row>
    <row r="6010" spans="1:9" x14ac:dyDescent="0.3">
      <c r="A6010" t="s">
        <v>10160</v>
      </c>
      <c r="B6010" t="s">
        <v>52</v>
      </c>
      <c r="C6010">
        <v>7648876604</v>
      </c>
      <c r="D6010" s="2">
        <v>1</v>
      </c>
      <c r="E6010" t="str">
        <f>"4574674200817872"</f>
        <v>4574674200817872</v>
      </c>
      <c r="F6010" t="str">
        <f>"515"</f>
        <v>515</v>
      </c>
      <c r="G6010">
        <v>1</v>
      </c>
      <c r="H6010">
        <v>2023</v>
      </c>
      <c r="I6010" t="s">
        <v>6125</v>
      </c>
    </row>
    <row r="6011" spans="1:9" x14ac:dyDescent="0.3">
      <c r="A6011" t="s">
        <v>10160</v>
      </c>
      <c r="B6011" t="s">
        <v>52</v>
      </c>
      <c r="C6011">
        <v>7648876604</v>
      </c>
      <c r="D6011" s="2">
        <v>1</v>
      </c>
      <c r="E6011" t="str">
        <f>"4574674200817922"</f>
        <v>4574674200817922</v>
      </c>
      <c r="F6011" t="str">
        <f>"851"</f>
        <v>851</v>
      </c>
      <c r="G6011">
        <v>1</v>
      </c>
      <c r="H6011">
        <v>2023</v>
      </c>
      <c r="I6011" t="s">
        <v>6126</v>
      </c>
    </row>
    <row r="6012" spans="1:9" x14ac:dyDescent="0.3">
      <c r="A6012" t="s">
        <v>10160</v>
      </c>
      <c r="B6012" t="s">
        <v>52</v>
      </c>
      <c r="C6012">
        <v>7648876604</v>
      </c>
      <c r="D6012" s="2">
        <v>1</v>
      </c>
      <c r="E6012" t="str">
        <f>"4574674200817914"</f>
        <v>4574674200817914</v>
      </c>
      <c r="F6012" t="str">
        <f>"734"</f>
        <v>734</v>
      </c>
      <c r="G6012">
        <v>1</v>
      </c>
      <c r="H6012">
        <v>2023</v>
      </c>
      <c r="I6012" t="s">
        <v>6127</v>
      </c>
    </row>
    <row r="6013" spans="1:9" x14ac:dyDescent="0.3">
      <c r="A6013" t="s">
        <v>10160</v>
      </c>
      <c r="B6013" t="s">
        <v>52</v>
      </c>
      <c r="C6013">
        <v>7648876604</v>
      </c>
      <c r="D6013" s="2">
        <v>1</v>
      </c>
      <c r="E6013" t="str">
        <f>"4574674200818102"</f>
        <v>4574674200818102</v>
      </c>
      <c r="F6013" t="str">
        <f>"032"</f>
        <v>032</v>
      </c>
      <c r="G6013">
        <v>1</v>
      </c>
      <c r="H6013">
        <v>2023</v>
      </c>
      <c r="I6013" t="s">
        <v>6128</v>
      </c>
    </row>
    <row r="6014" spans="1:9" x14ac:dyDescent="0.3">
      <c r="A6014" t="s">
        <v>10160</v>
      </c>
      <c r="B6014" t="s">
        <v>52</v>
      </c>
      <c r="C6014">
        <v>7648876604</v>
      </c>
      <c r="D6014" s="2">
        <v>1</v>
      </c>
      <c r="E6014" t="str">
        <f>"4574674200817963"</f>
        <v>4574674200817963</v>
      </c>
      <c r="F6014" t="str">
        <f>"471"</f>
        <v>471</v>
      </c>
      <c r="G6014">
        <v>1</v>
      </c>
      <c r="H6014">
        <v>2023</v>
      </c>
      <c r="I6014" t="s">
        <v>6129</v>
      </c>
    </row>
    <row r="6015" spans="1:9" x14ac:dyDescent="0.3">
      <c r="A6015" t="s">
        <v>10160</v>
      </c>
      <c r="B6015" t="s">
        <v>52</v>
      </c>
      <c r="C6015">
        <v>7648876604</v>
      </c>
      <c r="D6015" s="2">
        <v>1</v>
      </c>
      <c r="E6015" t="str">
        <f>"4574674200817971"</f>
        <v>4574674200817971</v>
      </c>
      <c r="F6015" t="str">
        <f>"591"</f>
        <v>591</v>
      </c>
      <c r="G6015">
        <v>1</v>
      </c>
      <c r="H6015">
        <v>2023</v>
      </c>
      <c r="I6015" t="s">
        <v>6130</v>
      </c>
    </row>
    <row r="6016" spans="1:9" x14ac:dyDescent="0.3">
      <c r="A6016" t="s">
        <v>10160</v>
      </c>
      <c r="B6016" t="s">
        <v>52</v>
      </c>
      <c r="C6016">
        <v>7648876604</v>
      </c>
      <c r="D6016" s="2">
        <v>1</v>
      </c>
      <c r="E6016" t="str">
        <f>"4574674200818219"</f>
        <v>4574674200818219</v>
      </c>
      <c r="F6016" t="str">
        <f>"928"</f>
        <v>928</v>
      </c>
      <c r="G6016">
        <v>1</v>
      </c>
      <c r="H6016">
        <v>2023</v>
      </c>
      <c r="I6016" t="s">
        <v>6131</v>
      </c>
    </row>
    <row r="6017" spans="1:9" x14ac:dyDescent="0.3">
      <c r="A6017" t="s">
        <v>10160</v>
      </c>
      <c r="B6017" t="s">
        <v>52</v>
      </c>
      <c r="C6017">
        <v>7648876604</v>
      </c>
      <c r="D6017" s="2">
        <v>1</v>
      </c>
      <c r="E6017" t="str">
        <f>"4574674200818144"</f>
        <v>4574674200818144</v>
      </c>
      <c r="F6017" t="str">
        <f>"631"</f>
        <v>631</v>
      </c>
      <c r="G6017">
        <v>1</v>
      </c>
      <c r="H6017">
        <v>2023</v>
      </c>
      <c r="I6017" t="s">
        <v>6132</v>
      </c>
    </row>
    <row r="6018" spans="1:9" x14ac:dyDescent="0.3">
      <c r="A6018" t="s">
        <v>10161</v>
      </c>
      <c r="B6018" t="s">
        <v>53</v>
      </c>
      <c r="C6018">
        <v>7648876604</v>
      </c>
      <c r="D6018" s="2">
        <v>1</v>
      </c>
      <c r="E6018" t="str">
        <f>"4574674200818227"</f>
        <v>4574674200818227</v>
      </c>
      <c r="F6018" t="str">
        <f>"161"</f>
        <v>161</v>
      </c>
      <c r="G6018">
        <v>1</v>
      </c>
      <c r="H6018">
        <v>2023</v>
      </c>
      <c r="I6018" t="s">
        <v>6133</v>
      </c>
    </row>
    <row r="6019" spans="1:9" x14ac:dyDescent="0.3">
      <c r="A6019" t="s">
        <v>10161</v>
      </c>
      <c r="B6019" t="s">
        <v>53</v>
      </c>
      <c r="C6019">
        <v>7648876604</v>
      </c>
      <c r="D6019" s="2">
        <v>1</v>
      </c>
      <c r="E6019" t="str">
        <f>"4574674200818243"</f>
        <v>4574674200818243</v>
      </c>
      <c r="F6019" t="str">
        <f>"037"</f>
        <v>037</v>
      </c>
      <c r="G6019">
        <v>1</v>
      </c>
      <c r="H6019">
        <v>2023</v>
      </c>
      <c r="I6019" t="s">
        <v>6134</v>
      </c>
    </row>
    <row r="6020" spans="1:9" x14ac:dyDescent="0.3">
      <c r="A6020" t="s">
        <v>10161</v>
      </c>
      <c r="B6020" t="s">
        <v>53</v>
      </c>
      <c r="C6020">
        <v>7648876604</v>
      </c>
      <c r="D6020" s="2">
        <v>1</v>
      </c>
      <c r="E6020" t="str">
        <f>"4574674200818474"</f>
        <v>4574674200818474</v>
      </c>
      <c r="F6020" t="str">
        <f>"676"</f>
        <v>676</v>
      </c>
      <c r="G6020">
        <v>1</v>
      </c>
      <c r="H6020">
        <v>2023</v>
      </c>
      <c r="I6020" t="s">
        <v>6135</v>
      </c>
    </row>
    <row r="6021" spans="1:9" x14ac:dyDescent="0.3">
      <c r="A6021" t="s">
        <v>10161</v>
      </c>
      <c r="B6021" t="s">
        <v>53</v>
      </c>
      <c r="C6021">
        <v>7648876604</v>
      </c>
      <c r="D6021" s="2">
        <v>1</v>
      </c>
      <c r="E6021" t="str">
        <f>"4574674200818284"</f>
        <v>4574674200818284</v>
      </c>
      <c r="F6021" t="str">
        <f>"994"</f>
        <v>994</v>
      </c>
      <c r="G6021">
        <v>1</v>
      </c>
      <c r="H6021">
        <v>2023</v>
      </c>
      <c r="I6021" t="s">
        <v>6136</v>
      </c>
    </row>
    <row r="6022" spans="1:9" x14ac:dyDescent="0.3">
      <c r="A6022" t="s">
        <v>10161</v>
      </c>
      <c r="B6022" t="s">
        <v>53</v>
      </c>
      <c r="C6022">
        <v>7648876604</v>
      </c>
      <c r="D6022" s="2">
        <v>1</v>
      </c>
      <c r="E6022" t="str">
        <f>"4574674200818318"</f>
        <v>4574674200818318</v>
      </c>
      <c r="F6022" t="str">
        <f>"943"</f>
        <v>943</v>
      </c>
      <c r="G6022">
        <v>1</v>
      </c>
      <c r="H6022">
        <v>2023</v>
      </c>
      <c r="I6022" t="s">
        <v>6137</v>
      </c>
    </row>
    <row r="6023" spans="1:9" x14ac:dyDescent="0.3">
      <c r="A6023" t="s">
        <v>10161</v>
      </c>
      <c r="B6023" t="s">
        <v>53</v>
      </c>
      <c r="C6023">
        <v>7648876604</v>
      </c>
      <c r="D6023" s="2">
        <v>1</v>
      </c>
      <c r="E6023" t="str">
        <f>"4574674200818326"</f>
        <v>4574674200818326</v>
      </c>
      <c r="F6023" t="str">
        <f>"450"</f>
        <v>450</v>
      </c>
      <c r="G6023">
        <v>1</v>
      </c>
      <c r="H6023">
        <v>2023</v>
      </c>
      <c r="I6023" t="s">
        <v>6138</v>
      </c>
    </row>
    <row r="6024" spans="1:9" x14ac:dyDescent="0.3">
      <c r="A6024" t="s">
        <v>10161</v>
      </c>
      <c r="B6024" t="s">
        <v>53</v>
      </c>
      <c r="C6024">
        <v>7648876604</v>
      </c>
      <c r="D6024" s="2">
        <v>1</v>
      </c>
      <c r="E6024" t="str">
        <f>"4574674200818334"</f>
        <v>4574674200818334</v>
      </c>
      <c r="F6024" t="str">
        <f>"665"</f>
        <v>665</v>
      </c>
      <c r="G6024">
        <v>1</v>
      </c>
      <c r="H6024">
        <v>2023</v>
      </c>
      <c r="I6024" t="s">
        <v>6139</v>
      </c>
    </row>
    <row r="6025" spans="1:9" x14ac:dyDescent="0.3">
      <c r="A6025" t="s">
        <v>10161</v>
      </c>
      <c r="B6025" t="s">
        <v>53</v>
      </c>
      <c r="C6025">
        <v>7648876604</v>
      </c>
      <c r="D6025" s="2">
        <v>1</v>
      </c>
      <c r="E6025" t="str">
        <f>"4574674200818581"</f>
        <v>4574674200818581</v>
      </c>
      <c r="F6025" t="str">
        <f>"985"</f>
        <v>985</v>
      </c>
      <c r="G6025">
        <v>1</v>
      </c>
      <c r="H6025">
        <v>2023</v>
      </c>
      <c r="I6025" t="s">
        <v>6140</v>
      </c>
    </row>
    <row r="6026" spans="1:9" x14ac:dyDescent="0.3">
      <c r="A6026" t="s">
        <v>10161</v>
      </c>
      <c r="B6026" t="s">
        <v>53</v>
      </c>
      <c r="C6026">
        <v>7648876604</v>
      </c>
      <c r="D6026" s="2">
        <v>1</v>
      </c>
      <c r="E6026" t="str">
        <f>"4574674200818631"</f>
        <v>4574674200818631</v>
      </c>
      <c r="F6026" t="str">
        <f>"623"</f>
        <v>623</v>
      </c>
      <c r="G6026">
        <v>1</v>
      </c>
      <c r="H6026">
        <v>2023</v>
      </c>
      <c r="I6026" t="s">
        <v>6141</v>
      </c>
    </row>
    <row r="6027" spans="1:9" x14ac:dyDescent="0.3">
      <c r="A6027" t="s">
        <v>10161</v>
      </c>
      <c r="B6027" t="s">
        <v>53</v>
      </c>
      <c r="C6027">
        <v>7648876604</v>
      </c>
      <c r="D6027" s="2">
        <v>1</v>
      </c>
      <c r="E6027" t="str">
        <f>"4574674200818383"</f>
        <v>4574674200818383</v>
      </c>
      <c r="F6027" t="str">
        <f>"469"</f>
        <v>469</v>
      </c>
      <c r="G6027">
        <v>1</v>
      </c>
      <c r="H6027">
        <v>2023</v>
      </c>
      <c r="I6027" t="s">
        <v>6142</v>
      </c>
    </row>
    <row r="6028" spans="1:9" x14ac:dyDescent="0.3">
      <c r="A6028" t="s">
        <v>10148</v>
      </c>
      <c r="B6028" t="s">
        <v>40</v>
      </c>
      <c r="C6028">
        <v>7648876604</v>
      </c>
      <c r="D6028" s="2">
        <v>1</v>
      </c>
      <c r="E6028" t="str">
        <f>"4574674200818375"</f>
        <v>4574674200818375</v>
      </c>
      <c r="F6028" t="str">
        <f>"685"</f>
        <v>685</v>
      </c>
      <c r="G6028">
        <v>1</v>
      </c>
      <c r="H6028">
        <v>2023</v>
      </c>
      <c r="I6028" t="s">
        <v>6143</v>
      </c>
    </row>
    <row r="6029" spans="1:9" x14ac:dyDescent="0.3">
      <c r="A6029" t="s">
        <v>10148</v>
      </c>
      <c r="B6029" t="s">
        <v>40</v>
      </c>
      <c r="C6029">
        <v>7648876604</v>
      </c>
      <c r="D6029" s="2">
        <v>1</v>
      </c>
      <c r="E6029" t="str">
        <f>"4574674200818367"</f>
        <v>4574674200818367</v>
      </c>
      <c r="F6029" t="str">
        <f>"942"</f>
        <v>942</v>
      </c>
      <c r="G6029">
        <v>1</v>
      </c>
      <c r="H6029">
        <v>2023</v>
      </c>
      <c r="I6029" t="s">
        <v>6144</v>
      </c>
    </row>
    <row r="6030" spans="1:9" x14ac:dyDescent="0.3">
      <c r="A6030" t="s">
        <v>10148</v>
      </c>
      <c r="B6030" t="s">
        <v>40</v>
      </c>
      <c r="C6030">
        <v>7648876604</v>
      </c>
      <c r="D6030" s="2">
        <v>1</v>
      </c>
      <c r="E6030" t="str">
        <f>"4574674200818805"</f>
        <v>4574674200818805</v>
      </c>
      <c r="F6030" t="str">
        <f>"272"</f>
        <v>272</v>
      </c>
      <c r="G6030">
        <v>1</v>
      </c>
      <c r="H6030">
        <v>2023</v>
      </c>
      <c r="I6030" t="s">
        <v>6145</v>
      </c>
    </row>
    <row r="6031" spans="1:9" x14ac:dyDescent="0.3">
      <c r="A6031" t="s">
        <v>10148</v>
      </c>
      <c r="B6031" t="s">
        <v>40</v>
      </c>
      <c r="C6031">
        <v>7648876604</v>
      </c>
      <c r="D6031" s="2">
        <v>1</v>
      </c>
      <c r="E6031" t="str">
        <f>"4574674200818862"</f>
        <v>4574674200818862</v>
      </c>
      <c r="F6031" t="str">
        <f>"542"</f>
        <v>542</v>
      </c>
      <c r="G6031">
        <v>1</v>
      </c>
      <c r="H6031">
        <v>2023</v>
      </c>
      <c r="I6031" t="s">
        <v>6146</v>
      </c>
    </row>
    <row r="6032" spans="1:9" x14ac:dyDescent="0.3">
      <c r="A6032" t="s">
        <v>10148</v>
      </c>
      <c r="B6032" t="s">
        <v>40</v>
      </c>
      <c r="C6032">
        <v>7648876604</v>
      </c>
      <c r="D6032" s="2">
        <v>1</v>
      </c>
      <c r="E6032" t="str">
        <f>"4574674200818672"</f>
        <v>4574674200818672</v>
      </c>
      <c r="F6032" t="str">
        <f>"926"</f>
        <v>926</v>
      </c>
      <c r="G6032">
        <v>1</v>
      </c>
      <c r="H6032">
        <v>2023</v>
      </c>
      <c r="I6032" t="s">
        <v>6147</v>
      </c>
    </row>
    <row r="6033" spans="1:9" x14ac:dyDescent="0.3">
      <c r="A6033" t="s">
        <v>10148</v>
      </c>
      <c r="B6033" t="s">
        <v>40</v>
      </c>
      <c r="C6033">
        <v>7648876604</v>
      </c>
      <c r="D6033" s="2">
        <v>1</v>
      </c>
      <c r="E6033" t="str">
        <f>"4574674200819019"</f>
        <v>4574674200819019</v>
      </c>
      <c r="F6033" t="str">
        <f>"977"</f>
        <v>977</v>
      </c>
      <c r="G6033">
        <v>1</v>
      </c>
      <c r="H6033">
        <v>2023</v>
      </c>
      <c r="I6033" t="s">
        <v>6148</v>
      </c>
    </row>
    <row r="6034" spans="1:9" x14ac:dyDescent="0.3">
      <c r="A6034" t="s">
        <v>10148</v>
      </c>
      <c r="B6034" t="s">
        <v>40</v>
      </c>
      <c r="C6034">
        <v>7648876604</v>
      </c>
      <c r="D6034" s="2">
        <v>1</v>
      </c>
      <c r="E6034" t="str">
        <f>"4574674200818896"</f>
        <v>4574674200818896</v>
      </c>
      <c r="F6034" t="str">
        <f>"798"</f>
        <v>798</v>
      </c>
      <c r="G6034">
        <v>1</v>
      </c>
      <c r="H6034">
        <v>2023</v>
      </c>
      <c r="I6034" t="s">
        <v>6149</v>
      </c>
    </row>
    <row r="6035" spans="1:9" x14ac:dyDescent="0.3">
      <c r="A6035" t="s">
        <v>10148</v>
      </c>
      <c r="B6035" t="s">
        <v>40</v>
      </c>
      <c r="C6035">
        <v>7648876604</v>
      </c>
      <c r="D6035" s="2">
        <v>1</v>
      </c>
      <c r="E6035" t="str">
        <f>"4574674200818979"</f>
        <v>4574674200818979</v>
      </c>
      <c r="F6035" t="str">
        <f>"930"</f>
        <v>930</v>
      </c>
      <c r="G6035">
        <v>1</v>
      </c>
      <c r="H6035">
        <v>2023</v>
      </c>
      <c r="I6035" t="s">
        <v>6150</v>
      </c>
    </row>
    <row r="6036" spans="1:9" x14ac:dyDescent="0.3">
      <c r="A6036" t="s">
        <v>10148</v>
      </c>
      <c r="B6036" t="s">
        <v>40</v>
      </c>
      <c r="C6036">
        <v>7648876604</v>
      </c>
      <c r="D6036" s="2">
        <v>1</v>
      </c>
      <c r="E6036" t="str">
        <f>"4574674200818870"</f>
        <v>4574674200818870</v>
      </c>
      <c r="F6036" t="str">
        <f>"665"</f>
        <v>665</v>
      </c>
      <c r="G6036">
        <v>1</v>
      </c>
      <c r="H6036">
        <v>2023</v>
      </c>
      <c r="I6036" t="s">
        <v>6151</v>
      </c>
    </row>
    <row r="6037" spans="1:9" x14ac:dyDescent="0.3">
      <c r="A6037" t="s">
        <v>10148</v>
      </c>
      <c r="B6037" t="s">
        <v>40</v>
      </c>
      <c r="C6037">
        <v>7648876604</v>
      </c>
      <c r="D6037" s="2">
        <v>1</v>
      </c>
      <c r="E6037" t="str">
        <f>"4574674200818920"</f>
        <v>4574674200818920</v>
      </c>
      <c r="F6037" t="str">
        <f>"239"</f>
        <v>239</v>
      </c>
      <c r="G6037">
        <v>1</v>
      </c>
      <c r="H6037">
        <v>2023</v>
      </c>
      <c r="I6037" t="s">
        <v>6152</v>
      </c>
    </row>
    <row r="6038" spans="1:9" x14ac:dyDescent="0.3">
      <c r="A6038" t="s">
        <v>10149</v>
      </c>
      <c r="B6038" t="s">
        <v>41</v>
      </c>
      <c r="C6038">
        <v>7648876604</v>
      </c>
      <c r="D6038" s="2">
        <v>1</v>
      </c>
      <c r="E6038" t="str">
        <f>"4574674200818946"</f>
        <v>4574674200818946</v>
      </c>
      <c r="F6038" t="str">
        <f>"511"</f>
        <v>511</v>
      </c>
      <c r="G6038">
        <v>1</v>
      </c>
      <c r="H6038">
        <v>2023</v>
      </c>
      <c r="I6038" t="s">
        <v>6153</v>
      </c>
    </row>
    <row r="6039" spans="1:9" x14ac:dyDescent="0.3">
      <c r="A6039" t="s">
        <v>10149</v>
      </c>
      <c r="B6039" t="s">
        <v>41</v>
      </c>
      <c r="C6039">
        <v>7648876604</v>
      </c>
      <c r="D6039" s="2">
        <v>1</v>
      </c>
      <c r="E6039" t="str">
        <f>"4574674200819126"</f>
        <v>4574674200819126</v>
      </c>
      <c r="F6039" t="str">
        <f>"968"</f>
        <v>968</v>
      </c>
      <c r="G6039">
        <v>1</v>
      </c>
      <c r="H6039">
        <v>2023</v>
      </c>
      <c r="I6039" t="s">
        <v>6154</v>
      </c>
    </row>
    <row r="6040" spans="1:9" x14ac:dyDescent="0.3">
      <c r="A6040" t="s">
        <v>10149</v>
      </c>
      <c r="B6040" t="s">
        <v>41</v>
      </c>
      <c r="C6040">
        <v>7648876604</v>
      </c>
      <c r="D6040" s="2">
        <v>1</v>
      </c>
      <c r="E6040" t="str">
        <f>"4574674200819167"</f>
        <v>4574674200819167</v>
      </c>
      <c r="F6040" t="str">
        <f>"970"</f>
        <v>970</v>
      </c>
      <c r="G6040">
        <v>1</v>
      </c>
      <c r="H6040">
        <v>2023</v>
      </c>
      <c r="I6040" t="s">
        <v>6155</v>
      </c>
    </row>
    <row r="6041" spans="1:9" x14ac:dyDescent="0.3">
      <c r="A6041" t="s">
        <v>10149</v>
      </c>
      <c r="B6041" t="s">
        <v>41</v>
      </c>
      <c r="C6041">
        <v>7648876604</v>
      </c>
      <c r="D6041" s="2">
        <v>1</v>
      </c>
      <c r="E6041" t="str">
        <f>"4574674200819258"</f>
        <v>4574674200819258</v>
      </c>
      <c r="F6041" t="str">
        <f>"175"</f>
        <v>175</v>
      </c>
      <c r="G6041">
        <v>1</v>
      </c>
      <c r="H6041">
        <v>2023</v>
      </c>
      <c r="I6041" t="s">
        <v>6156</v>
      </c>
    </row>
    <row r="6042" spans="1:9" x14ac:dyDescent="0.3">
      <c r="A6042" t="s">
        <v>10149</v>
      </c>
      <c r="B6042" t="s">
        <v>41</v>
      </c>
      <c r="C6042">
        <v>7648876604</v>
      </c>
      <c r="D6042" s="2">
        <v>1</v>
      </c>
      <c r="E6042" t="str">
        <f>"4574674200819225"</f>
        <v>4574674200819225</v>
      </c>
      <c r="F6042" t="str">
        <f>"012"</f>
        <v>012</v>
      </c>
      <c r="G6042">
        <v>1</v>
      </c>
      <c r="H6042">
        <v>2023</v>
      </c>
      <c r="I6042" t="s">
        <v>6157</v>
      </c>
    </row>
    <row r="6043" spans="1:9" x14ac:dyDescent="0.3">
      <c r="A6043" t="s">
        <v>10149</v>
      </c>
      <c r="B6043" t="s">
        <v>41</v>
      </c>
      <c r="C6043">
        <v>7648876604</v>
      </c>
      <c r="D6043" s="2">
        <v>1</v>
      </c>
      <c r="E6043" t="str">
        <f>"4574674200819266"</f>
        <v>4574674200819266</v>
      </c>
      <c r="F6043" t="str">
        <f>"231"</f>
        <v>231</v>
      </c>
      <c r="G6043">
        <v>1</v>
      </c>
      <c r="H6043">
        <v>2023</v>
      </c>
      <c r="I6043" t="s">
        <v>6158</v>
      </c>
    </row>
    <row r="6044" spans="1:9" x14ac:dyDescent="0.3">
      <c r="A6044" t="s">
        <v>10149</v>
      </c>
      <c r="B6044" t="s">
        <v>41</v>
      </c>
      <c r="C6044">
        <v>7648876604</v>
      </c>
      <c r="D6044" s="2">
        <v>1</v>
      </c>
      <c r="E6044" t="str">
        <f>"4574674200819233"</f>
        <v>4574674200819233</v>
      </c>
      <c r="F6044" t="str">
        <f>"842"</f>
        <v>842</v>
      </c>
      <c r="G6044">
        <v>1</v>
      </c>
      <c r="H6044">
        <v>2023</v>
      </c>
      <c r="I6044" t="s">
        <v>6159</v>
      </c>
    </row>
    <row r="6045" spans="1:9" x14ac:dyDescent="0.3">
      <c r="A6045" t="s">
        <v>10149</v>
      </c>
      <c r="B6045" t="s">
        <v>41</v>
      </c>
      <c r="C6045">
        <v>7648876604</v>
      </c>
      <c r="D6045" s="2">
        <v>1</v>
      </c>
      <c r="E6045" t="str">
        <f>"4574674200819282"</f>
        <v>4574674200819282</v>
      </c>
      <c r="F6045" t="str">
        <f>"862"</f>
        <v>862</v>
      </c>
      <c r="G6045">
        <v>1</v>
      </c>
      <c r="H6045">
        <v>2023</v>
      </c>
      <c r="I6045" t="s">
        <v>6160</v>
      </c>
    </row>
    <row r="6046" spans="1:9" x14ac:dyDescent="0.3">
      <c r="A6046" t="s">
        <v>10149</v>
      </c>
      <c r="B6046" t="s">
        <v>41</v>
      </c>
      <c r="C6046">
        <v>7648876604</v>
      </c>
      <c r="D6046" s="2">
        <v>1</v>
      </c>
      <c r="E6046" t="str">
        <f>"4574674200819506"</f>
        <v>4574674200819506</v>
      </c>
      <c r="F6046" t="str">
        <f>"386"</f>
        <v>386</v>
      </c>
      <c r="G6046">
        <v>1</v>
      </c>
      <c r="H6046">
        <v>2023</v>
      </c>
      <c r="I6046" t="s">
        <v>6161</v>
      </c>
    </row>
    <row r="6047" spans="1:9" x14ac:dyDescent="0.3">
      <c r="A6047" t="s">
        <v>10149</v>
      </c>
      <c r="B6047" t="s">
        <v>41</v>
      </c>
      <c r="C6047">
        <v>7648876604</v>
      </c>
      <c r="D6047" s="2">
        <v>1</v>
      </c>
      <c r="E6047" t="str">
        <f>"4574674200819522"</f>
        <v>4574674200819522</v>
      </c>
      <c r="F6047" t="str">
        <f>"117"</f>
        <v>117</v>
      </c>
      <c r="G6047">
        <v>1</v>
      </c>
      <c r="H6047">
        <v>2023</v>
      </c>
      <c r="I6047" t="s">
        <v>6162</v>
      </c>
    </row>
    <row r="6048" spans="1:9" x14ac:dyDescent="0.3">
      <c r="A6048" t="s">
        <v>10150</v>
      </c>
      <c r="B6048" t="s">
        <v>42</v>
      </c>
      <c r="C6048">
        <v>7648876604</v>
      </c>
      <c r="D6048" s="2">
        <v>1</v>
      </c>
      <c r="E6048" t="str">
        <f>"4574674200819381"</f>
        <v>4574674200819381</v>
      </c>
      <c r="F6048" t="str">
        <f>"781"</f>
        <v>781</v>
      </c>
      <c r="G6048">
        <v>1</v>
      </c>
      <c r="H6048">
        <v>2023</v>
      </c>
      <c r="I6048" t="s">
        <v>6163</v>
      </c>
    </row>
    <row r="6049" spans="1:9" x14ac:dyDescent="0.3">
      <c r="A6049" t="s">
        <v>10150</v>
      </c>
      <c r="B6049" t="s">
        <v>42</v>
      </c>
      <c r="C6049">
        <v>7648876604</v>
      </c>
      <c r="D6049" s="2">
        <v>1</v>
      </c>
      <c r="E6049" t="str">
        <f>"4574674200819613"</f>
        <v>4574674200819613</v>
      </c>
      <c r="F6049" t="str">
        <f>"909"</f>
        <v>909</v>
      </c>
      <c r="G6049">
        <v>1</v>
      </c>
      <c r="H6049">
        <v>2023</v>
      </c>
      <c r="I6049" t="s">
        <v>6164</v>
      </c>
    </row>
    <row r="6050" spans="1:9" x14ac:dyDescent="0.3">
      <c r="A6050" t="s">
        <v>10150</v>
      </c>
      <c r="B6050" t="s">
        <v>42</v>
      </c>
      <c r="C6050">
        <v>7648876604</v>
      </c>
      <c r="D6050" s="2">
        <v>1</v>
      </c>
      <c r="E6050" t="str">
        <f>"4574674200819605"</f>
        <v>4574674200819605</v>
      </c>
      <c r="F6050" t="str">
        <f>"908"</f>
        <v>908</v>
      </c>
      <c r="G6050">
        <v>1</v>
      </c>
      <c r="H6050">
        <v>2023</v>
      </c>
      <c r="I6050" t="s">
        <v>6165</v>
      </c>
    </row>
    <row r="6051" spans="1:9" x14ac:dyDescent="0.3">
      <c r="A6051" t="s">
        <v>10150</v>
      </c>
      <c r="B6051" t="s">
        <v>42</v>
      </c>
      <c r="C6051">
        <v>7648876604</v>
      </c>
      <c r="D6051" s="2">
        <v>1</v>
      </c>
      <c r="E6051" t="str">
        <f>"4574674200819811"</f>
        <v>4574674200819811</v>
      </c>
      <c r="F6051" t="str">
        <f>"922"</f>
        <v>922</v>
      </c>
      <c r="G6051">
        <v>1</v>
      </c>
      <c r="H6051">
        <v>2023</v>
      </c>
      <c r="I6051" t="s">
        <v>6166</v>
      </c>
    </row>
    <row r="6052" spans="1:9" x14ac:dyDescent="0.3">
      <c r="A6052" t="s">
        <v>10150</v>
      </c>
      <c r="B6052" t="s">
        <v>42</v>
      </c>
      <c r="C6052">
        <v>7648876604</v>
      </c>
      <c r="D6052" s="2">
        <v>1</v>
      </c>
      <c r="E6052" t="str">
        <f>"4574674200819654"</f>
        <v>4574674200819654</v>
      </c>
      <c r="F6052" t="str">
        <f>"540"</f>
        <v>540</v>
      </c>
      <c r="G6052">
        <v>1</v>
      </c>
      <c r="H6052">
        <v>2023</v>
      </c>
      <c r="I6052" t="s">
        <v>6167</v>
      </c>
    </row>
    <row r="6053" spans="1:9" x14ac:dyDescent="0.3">
      <c r="A6053" t="s">
        <v>10150</v>
      </c>
      <c r="B6053" t="s">
        <v>42</v>
      </c>
      <c r="C6053">
        <v>7648876604</v>
      </c>
      <c r="D6053" s="2">
        <v>1</v>
      </c>
      <c r="E6053" t="str">
        <f>"4574674200819696"</f>
        <v>4574674200819696</v>
      </c>
      <c r="F6053" t="str">
        <f>"550"</f>
        <v>550</v>
      </c>
      <c r="G6053">
        <v>1</v>
      </c>
      <c r="H6053">
        <v>2023</v>
      </c>
      <c r="I6053" t="s">
        <v>6168</v>
      </c>
    </row>
    <row r="6054" spans="1:9" x14ac:dyDescent="0.3">
      <c r="A6054" t="s">
        <v>10150</v>
      </c>
      <c r="B6054" t="s">
        <v>42</v>
      </c>
      <c r="C6054">
        <v>7648876604</v>
      </c>
      <c r="D6054" s="2">
        <v>1</v>
      </c>
      <c r="E6054" t="str">
        <f>"4574674200819738"</f>
        <v>4574674200819738</v>
      </c>
      <c r="F6054" t="str">
        <f>"897"</f>
        <v>897</v>
      </c>
      <c r="G6054">
        <v>1</v>
      </c>
      <c r="H6054">
        <v>2023</v>
      </c>
      <c r="I6054" t="s">
        <v>6169</v>
      </c>
    </row>
    <row r="6055" spans="1:9" x14ac:dyDescent="0.3">
      <c r="A6055" t="s">
        <v>10150</v>
      </c>
      <c r="B6055" t="s">
        <v>42</v>
      </c>
      <c r="C6055">
        <v>7648876604</v>
      </c>
      <c r="D6055" s="2">
        <v>1</v>
      </c>
      <c r="E6055" t="str">
        <f>"4574674200819936"</f>
        <v>4574674200819936</v>
      </c>
      <c r="F6055" t="str">
        <f>"321"</f>
        <v>321</v>
      </c>
      <c r="G6055">
        <v>1</v>
      </c>
      <c r="H6055">
        <v>2023</v>
      </c>
      <c r="I6055" t="s">
        <v>6170</v>
      </c>
    </row>
    <row r="6056" spans="1:9" x14ac:dyDescent="0.3">
      <c r="A6056" t="s">
        <v>10150</v>
      </c>
      <c r="B6056" t="s">
        <v>42</v>
      </c>
      <c r="C6056">
        <v>7648876604</v>
      </c>
      <c r="D6056" s="2">
        <v>1</v>
      </c>
      <c r="E6056" t="str">
        <f>"4574674200819753"</f>
        <v>4574674200819753</v>
      </c>
      <c r="F6056" t="str">
        <f>"956"</f>
        <v>956</v>
      </c>
      <c r="G6056">
        <v>1</v>
      </c>
      <c r="H6056">
        <v>2023</v>
      </c>
      <c r="I6056" t="s">
        <v>6171</v>
      </c>
    </row>
    <row r="6057" spans="1:9" x14ac:dyDescent="0.3">
      <c r="A6057" t="s">
        <v>10150</v>
      </c>
      <c r="B6057" t="s">
        <v>42</v>
      </c>
      <c r="C6057">
        <v>7648876604</v>
      </c>
      <c r="D6057" s="2">
        <v>1</v>
      </c>
      <c r="E6057" t="str">
        <f>"4574674200819795"</f>
        <v>4574674200819795</v>
      </c>
      <c r="F6057" t="str">
        <f>"413"</f>
        <v>413</v>
      </c>
      <c r="G6057">
        <v>1</v>
      </c>
      <c r="H6057">
        <v>2023</v>
      </c>
      <c r="I6057" t="s">
        <v>6172</v>
      </c>
    </row>
    <row r="6058" spans="1:9" x14ac:dyDescent="0.3">
      <c r="A6058" t="s">
        <v>10151</v>
      </c>
      <c r="B6058" t="s">
        <v>43</v>
      </c>
      <c r="C6058">
        <v>7648876604</v>
      </c>
      <c r="D6058" s="2">
        <v>1</v>
      </c>
      <c r="E6058" t="str">
        <f>"4574674200820207"</f>
        <v>4574674200820207</v>
      </c>
      <c r="F6058" t="str">
        <f>"013"</f>
        <v>013</v>
      </c>
      <c r="G6058">
        <v>1</v>
      </c>
      <c r="H6058">
        <v>2023</v>
      </c>
      <c r="I6058" t="s">
        <v>6173</v>
      </c>
    </row>
    <row r="6059" spans="1:9" x14ac:dyDescent="0.3">
      <c r="A6059" t="s">
        <v>10151</v>
      </c>
      <c r="B6059" t="s">
        <v>43</v>
      </c>
      <c r="C6059">
        <v>7648876604</v>
      </c>
      <c r="D6059" s="2">
        <v>1</v>
      </c>
      <c r="E6059" t="str">
        <f>"4574674200820223"</f>
        <v>4574674200820223</v>
      </c>
      <c r="F6059" t="str">
        <f>"450"</f>
        <v>450</v>
      </c>
      <c r="G6059">
        <v>1</v>
      </c>
      <c r="H6059">
        <v>2023</v>
      </c>
      <c r="I6059" t="s">
        <v>6174</v>
      </c>
    </row>
    <row r="6060" spans="1:9" x14ac:dyDescent="0.3">
      <c r="A6060" t="s">
        <v>10151</v>
      </c>
      <c r="B6060" t="s">
        <v>43</v>
      </c>
      <c r="C6060">
        <v>7648876604</v>
      </c>
      <c r="D6060" s="2">
        <v>1</v>
      </c>
      <c r="E6060" t="str">
        <f>"4574674200820041"</f>
        <v>4574674200820041</v>
      </c>
      <c r="F6060" t="str">
        <f>"986"</f>
        <v>986</v>
      </c>
      <c r="G6060">
        <v>1</v>
      </c>
      <c r="H6060">
        <v>2023</v>
      </c>
      <c r="I6060" t="s">
        <v>6175</v>
      </c>
    </row>
    <row r="6061" spans="1:9" x14ac:dyDescent="0.3">
      <c r="A6061" t="s">
        <v>10151</v>
      </c>
      <c r="B6061" t="s">
        <v>43</v>
      </c>
      <c r="C6061">
        <v>7648876604</v>
      </c>
      <c r="D6061" s="2">
        <v>1</v>
      </c>
      <c r="E6061" t="str">
        <f>"4574674200820256"</f>
        <v>4574674200820256</v>
      </c>
      <c r="F6061" t="str">
        <f>"418"</f>
        <v>418</v>
      </c>
      <c r="G6061">
        <v>1</v>
      </c>
      <c r="H6061">
        <v>2023</v>
      </c>
      <c r="I6061" t="s">
        <v>6176</v>
      </c>
    </row>
    <row r="6062" spans="1:9" x14ac:dyDescent="0.3">
      <c r="A6062" t="s">
        <v>10151</v>
      </c>
      <c r="B6062" t="s">
        <v>43</v>
      </c>
      <c r="C6062">
        <v>7648876604</v>
      </c>
      <c r="D6062" s="2">
        <v>1</v>
      </c>
      <c r="E6062" t="str">
        <f>"4574674200820124"</f>
        <v>4574674200820124</v>
      </c>
      <c r="F6062" t="str">
        <f>"499"</f>
        <v>499</v>
      </c>
      <c r="G6062">
        <v>1</v>
      </c>
      <c r="H6062">
        <v>2023</v>
      </c>
      <c r="I6062" t="s">
        <v>6177</v>
      </c>
    </row>
    <row r="6063" spans="1:9" x14ac:dyDescent="0.3">
      <c r="A6063" t="s">
        <v>10151</v>
      </c>
      <c r="B6063" t="s">
        <v>43</v>
      </c>
      <c r="C6063">
        <v>7648876604</v>
      </c>
      <c r="D6063" s="2">
        <v>1</v>
      </c>
      <c r="E6063" t="str">
        <f>"4574674200820272"</f>
        <v>4574674200820272</v>
      </c>
      <c r="F6063" t="str">
        <f>"147"</f>
        <v>147</v>
      </c>
      <c r="G6063">
        <v>1</v>
      </c>
      <c r="H6063">
        <v>2023</v>
      </c>
      <c r="I6063" t="s">
        <v>6178</v>
      </c>
    </row>
    <row r="6064" spans="1:9" x14ac:dyDescent="0.3">
      <c r="A6064" t="s">
        <v>10151</v>
      </c>
      <c r="B6064" t="s">
        <v>43</v>
      </c>
      <c r="C6064">
        <v>7648876604</v>
      </c>
      <c r="D6064" s="2">
        <v>1</v>
      </c>
      <c r="E6064" t="str">
        <f>"4574674200820280"</f>
        <v>4574674200820280</v>
      </c>
      <c r="F6064" t="str">
        <f>"384"</f>
        <v>384</v>
      </c>
      <c r="G6064">
        <v>1</v>
      </c>
      <c r="H6064">
        <v>2023</v>
      </c>
      <c r="I6064" t="s">
        <v>6179</v>
      </c>
    </row>
    <row r="6065" spans="1:9" x14ac:dyDescent="0.3">
      <c r="A6065" t="s">
        <v>10151</v>
      </c>
      <c r="B6065" t="s">
        <v>43</v>
      </c>
      <c r="C6065">
        <v>7648876604</v>
      </c>
      <c r="D6065" s="2">
        <v>1</v>
      </c>
      <c r="E6065" t="str">
        <f>"4574674200820322"</f>
        <v>4574674200820322</v>
      </c>
      <c r="F6065" t="str">
        <f>"070"</f>
        <v>070</v>
      </c>
      <c r="G6065">
        <v>1</v>
      </c>
      <c r="H6065">
        <v>2023</v>
      </c>
      <c r="I6065" t="s">
        <v>6180</v>
      </c>
    </row>
    <row r="6066" spans="1:9" x14ac:dyDescent="0.3">
      <c r="A6066" t="s">
        <v>10151</v>
      </c>
      <c r="B6066" t="s">
        <v>43</v>
      </c>
      <c r="C6066">
        <v>7648876604</v>
      </c>
      <c r="D6066" s="2">
        <v>1</v>
      </c>
      <c r="E6066" t="str">
        <f>"4574674200820389"</f>
        <v>4574674200820389</v>
      </c>
      <c r="F6066" t="str">
        <f>"847"</f>
        <v>847</v>
      </c>
      <c r="G6066">
        <v>1</v>
      </c>
      <c r="H6066">
        <v>2023</v>
      </c>
      <c r="I6066" t="s">
        <v>6181</v>
      </c>
    </row>
    <row r="6067" spans="1:9" x14ac:dyDescent="0.3">
      <c r="A6067" t="s">
        <v>10151</v>
      </c>
      <c r="B6067" t="s">
        <v>43</v>
      </c>
      <c r="C6067">
        <v>7648876604</v>
      </c>
      <c r="D6067" s="2">
        <v>1</v>
      </c>
      <c r="E6067" t="str">
        <f>"4574674200820371"</f>
        <v>4574674200820371</v>
      </c>
      <c r="F6067" t="str">
        <f>"674"</f>
        <v>674</v>
      </c>
      <c r="G6067">
        <v>1</v>
      </c>
      <c r="H6067">
        <v>2023</v>
      </c>
      <c r="I6067" t="s">
        <v>6182</v>
      </c>
    </row>
    <row r="6068" spans="1:9" x14ac:dyDescent="0.3">
      <c r="A6068" t="s">
        <v>10152</v>
      </c>
      <c r="B6068" t="s">
        <v>44</v>
      </c>
      <c r="C6068">
        <v>7648876604</v>
      </c>
      <c r="D6068" s="2">
        <v>1</v>
      </c>
      <c r="E6068" t="str">
        <f>"4574674200820447"</f>
        <v>4574674200820447</v>
      </c>
      <c r="F6068" t="str">
        <f>"438"</f>
        <v>438</v>
      </c>
      <c r="G6068">
        <v>1</v>
      </c>
      <c r="H6068">
        <v>2023</v>
      </c>
      <c r="I6068" t="s">
        <v>6183</v>
      </c>
    </row>
    <row r="6069" spans="1:9" x14ac:dyDescent="0.3">
      <c r="A6069" t="s">
        <v>10152</v>
      </c>
      <c r="B6069" t="s">
        <v>44</v>
      </c>
      <c r="C6069">
        <v>7648876604</v>
      </c>
      <c r="D6069" s="2">
        <v>1</v>
      </c>
      <c r="E6069" t="str">
        <f>"4574674200820637"</f>
        <v>4574674200820637</v>
      </c>
      <c r="F6069" t="str">
        <f>"255"</f>
        <v>255</v>
      </c>
      <c r="G6069">
        <v>1</v>
      </c>
      <c r="H6069">
        <v>2023</v>
      </c>
      <c r="I6069" t="s">
        <v>6184</v>
      </c>
    </row>
    <row r="6070" spans="1:9" x14ac:dyDescent="0.3">
      <c r="A6070" t="s">
        <v>10152</v>
      </c>
      <c r="B6070" t="s">
        <v>44</v>
      </c>
      <c r="C6070">
        <v>7648876604</v>
      </c>
      <c r="D6070" s="2">
        <v>1</v>
      </c>
      <c r="E6070" t="str">
        <f>"4574674200820611"</f>
        <v>4574674200820611</v>
      </c>
      <c r="F6070" t="str">
        <f>"972"</f>
        <v>972</v>
      </c>
      <c r="G6070">
        <v>1</v>
      </c>
      <c r="H6070">
        <v>2023</v>
      </c>
      <c r="I6070" t="s">
        <v>6185</v>
      </c>
    </row>
    <row r="6071" spans="1:9" x14ac:dyDescent="0.3">
      <c r="A6071" t="s">
        <v>10152</v>
      </c>
      <c r="B6071" t="s">
        <v>44</v>
      </c>
      <c r="C6071">
        <v>7648876604</v>
      </c>
      <c r="D6071" s="2">
        <v>1</v>
      </c>
      <c r="E6071" t="str">
        <f>"4574674200820504"</f>
        <v>4574674200820504</v>
      </c>
      <c r="F6071" t="str">
        <f>"488"</f>
        <v>488</v>
      </c>
      <c r="G6071">
        <v>1</v>
      </c>
      <c r="H6071">
        <v>2023</v>
      </c>
      <c r="I6071" t="s">
        <v>6186</v>
      </c>
    </row>
    <row r="6072" spans="1:9" x14ac:dyDescent="0.3">
      <c r="A6072" t="s">
        <v>10152</v>
      </c>
      <c r="B6072" t="s">
        <v>44</v>
      </c>
      <c r="C6072">
        <v>7648876604</v>
      </c>
      <c r="D6072" s="2">
        <v>1</v>
      </c>
      <c r="E6072" t="str">
        <f>"4574674200820678"</f>
        <v>4574674200820678</v>
      </c>
      <c r="F6072" t="str">
        <f>"584"</f>
        <v>584</v>
      </c>
      <c r="G6072">
        <v>1</v>
      </c>
      <c r="H6072">
        <v>2023</v>
      </c>
      <c r="I6072" t="s">
        <v>6187</v>
      </c>
    </row>
    <row r="6073" spans="1:9" x14ac:dyDescent="0.3">
      <c r="A6073" t="s">
        <v>10152</v>
      </c>
      <c r="B6073" t="s">
        <v>44</v>
      </c>
      <c r="C6073">
        <v>7648876604</v>
      </c>
      <c r="D6073" s="2">
        <v>1</v>
      </c>
      <c r="E6073" t="str">
        <f>"4574674200820686"</f>
        <v>4574674200820686</v>
      </c>
      <c r="F6073" t="str">
        <f>"428"</f>
        <v>428</v>
      </c>
      <c r="G6073">
        <v>1</v>
      </c>
      <c r="H6073">
        <v>2023</v>
      </c>
      <c r="I6073" t="s">
        <v>6188</v>
      </c>
    </row>
    <row r="6074" spans="1:9" x14ac:dyDescent="0.3">
      <c r="A6074" t="s">
        <v>10152</v>
      </c>
      <c r="B6074" t="s">
        <v>44</v>
      </c>
      <c r="C6074">
        <v>7648876604</v>
      </c>
      <c r="D6074" s="2">
        <v>1</v>
      </c>
      <c r="E6074" t="str">
        <f>"4574674200820694"</f>
        <v>4574674200820694</v>
      </c>
      <c r="F6074" t="str">
        <f>"482"</f>
        <v>482</v>
      </c>
      <c r="G6074">
        <v>1</v>
      </c>
      <c r="H6074">
        <v>2023</v>
      </c>
      <c r="I6074" t="s">
        <v>6189</v>
      </c>
    </row>
    <row r="6075" spans="1:9" x14ac:dyDescent="0.3">
      <c r="A6075" t="s">
        <v>10152</v>
      </c>
      <c r="B6075" t="s">
        <v>44</v>
      </c>
      <c r="C6075">
        <v>7648876604</v>
      </c>
      <c r="D6075" s="2">
        <v>1</v>
      </c>
      <c r="E6075" t="str">
        <f>"4574674200820595"</f>
        <v>4574674200820595</v>
      </c>
      <c r="F6075" t="str">
        <f>"985"</f>
        <v>985</v>
      </c>
      <c r="G6075">
        <v>1</v>
      </c>
      <c r="H6075">
        <v>2023</v>
      </c>
      <c r="I6075" t="s">
        <v>6190</v>
      </c>
    </row>
    <row r="6076" spans="1:9" x14ac:dyDescent="0.3">
      <c r="A6076" t="s">
        <v>10152</v>
      </c>
      <c r="B6076" t="s">
        <v>44</v>
      </c>
      <c r="C6076">
        <v>7648876604</v>
      </c>
      <c r="D6076" s="2">
        <v>1</v>
      </c>
      <c r="E6076" t="str">
        <f>"4574674200820736"</f>
        <v>4574674200820736</v>
      </c>
      <c r="F6076" t="str">
        <f>"277"</f>
        <v>277</v>
      </c>
      <c r="G6076">
        <v>1</v>
      </c>
      <c r="H6076">
        <v>2023</v>
      </c>
      <c r="I6076" t="s">
        <v>6191</v>
      </c>
    </row>
    <row r="6077" spans="1:9" x14ac:dyDescent="0.3">
      <c r="A6077" t="s">
        <v>10152</v>
      </c>
      <c r="B6077" t="s">
        <v>44</v>
      </c>
      <c r="C6077">
        <v>7648876604</v>
      </c>
      <c r="D6077" s="2">
        <v>1</v>
      </c>
      <c r="E6077" t="str">
        <f>"4574674200820751"</f>
        <v>4574674200820751</v>
      </c>
      <c r="F6077" t="str">
        <f>"038"</f>
        <v>038</v>
      </c>
      <c r="G6077">
        <v>1</v>
      </c>
      <c r="H6077">
        <v>2023</v>
      </c>
      <c r="I6077" t="s">
        <v>6192</v>
      </c>
    </row>
    <row r="6078" spans="1:9" x14ac:dyDescent="0.3">
      <c r="A6078" t="s">
        <v>10162</v>
      </c>
      <c r="B6078" t="s">
        <v>54</v>
      </c>
      <c r="C6078">
        <v>8989697390</v>
      </c>
      <c r="D6078" s="2">
        <v>1</v>
      </c>
      <c r="E6078" t="str">
        <f>"4574674200820835"</f>
        <v>4574674200820835</v>
      </c>
      <c r="F6078" t="str">
        <f>"560"</f>
        <v>560</v>
      </c>
      <c r="G6078">
        <v>1</v>
      </c>
      <c r="H6078">
        <v>2023</v>
      </c>
      <c r="I6078" t="s">
        <v>6193</v>
      </c>
    </row>
    <row r="6079" spans="1:9" x14ac:dyDescent="0.3">
      <c r="A6079" t="s">
        <v>10162</v>
      </c>
      <c r="B6079" t="s">
        <v>54</v>
      </c>
      <c r="C6079">
        <v>8989697390</v>
      </c>
      <c r="D6079" s="2">
        <v>1</v>
      </c>
      <c r="E6079" t="str">
        <f>"4574674200820942"</f>
        <v>4574674200820942</v>
      </c>
      <c r="F6079" t="str">
        <f>"536"</f>
        <v>536</v>
      </c>
      <c r="G6079">
        <v>1</v>
      </c>
      <c r="H6079">
        <v>2023</v>
      </c>
      <c r="I6079" t="s">
        <v>6194</v>
      </c>
    </row>
    <row r="6080" spans="1:9" x14ac:dyDescent="0.3">
      <c r="A6080" t="s">
        <v>10162</v>
      </c>
      <c r="B6080" t="s">
        <v>54</v>
      </c>
      <c r="C6080">
        <v>8989697390</v>
      </c>
      <c r="D6080" s="2">
        <v>1</v>
      </c>
      <c r="E6080" t="str">
        <f>"4574674200820793"</f>
        <v>4574674200820793</v>
      </c>
      <c r="F6080" t="str">
        <f>"680"</f>
        <v>680</v>
      </c>
      <c r="G6080">
        <v>1</v>
      </c>
      <c r="H6080">
        <v>2023</v>
      </c>
      <c r="I6080" t="s">
        <v>6195</v>
      </c>
    </row>
    <row r="6081" spans="1:9" x14ac:dyDescent="0.3">
      <c r="A6081" t="s">
        <v>10162</v>
      </c>
      <c r="B6081" t="s">
        <v>54</v>
      </c>
      <c r="C6081">
        <v>8989697390</v>
      </c>
      <c r="D6081" s="2">
        <v>1</v>
      </c>
      <c r="E6081" t="str">
        <f>"4574674200821015"</f>
        <v>4574674200821015</v>
      </c>
      <c r="F6081" t="str">
        <f>"265"</f>
        <v>265</v>
      </c>
      <c r="G6081">
        <v>1</v>
      </c>
      <c r="H6081">
        <v>2023</v>
      </c>
      <c r="I6081" t="s">
        <v>6196</v>
      </c>
    </row>
    <row r="6082" spans="1:9" x14ac:dyDescent="0.3">
      <c r="A6082" t="s">
        <v>10162</v>
      </c>
      <c r="B6082" t="s">
        <v>54</v>
      </c>
      <c r="C6082">
        <v>8989697390</v>
      </c>
      <c r="D6082" s="2">
        <v>1</v>
      </c>
      <c r="E6082" t="str">
        <f>"4574674200821023"</f>
        <v>4574674200821023</v>
      </c>
      <c r="F6082" t="str">
        <f>"353"</f>
        <v>353</v>
      </c>
      <c r="G6082">
        <v>1</v>
      </c>
      <c r="H6082">
        <v>2023</v>
      </c>
      <c r="I6082" t="s">
        <v>6197</v>
      </c>
    </row>
    <row r="6083" spans="1:9" x14ac:dyDescent="0.3">
      <c r="A6083" t="s">
        <v>10162</v>
      </c>
      <c r="B6083" t="s">
        <v>54</v>
      </c>
      <c r="C6083">
        <v>8989697390</v>
      </c>
      <c r="D6083" s="2">
        <v>1</v>
      </c>
      <c r="E6083" t="str">
        <f>"4574674200820975"</f>
        <v>4574674200820975</v>
      </c>
      <c r="F6083" t="str">
        <f>"022"</f>
        <v>022</v>
      </c>
      <c r="G6083">
        <v>1</v>
      </c>
      <c r="H6083">
        <v>2023</v>
      </c>
      <c r="I6083" t="s">
        <v>6198</v>
      </c>
    </row>
    <row r="6084" spans="1:9" x14ac:dyDescent="0.3">
      <c r="A6084" t="s">
        <v>10162</v>
      </c>
      <c r="B6084" t="s">
        <v>54</v>
      </c>
      <c r="C6084">
        <v>8989697390</v>
      </c>
      <c r="D6084" s="2">
        <v>1</v>
      </c>
      <c r="E6084" t="str">
        <f>"4574674200821064"</f>
        <v>4574674200821064</v>
      </c>
      <c r="F6084" t="str">
        <f>"371"</f>
        <v>371</v>
      </c>
      <c r="G6084">
        <v>1</v>
      </c>
      <c r="H6084">
        <v>2023</v>
      </c>
      <c r="I6084" t="s">
        <v>6199</v>
      </c>
    </row>
    <row r="6085" spans="1:9" x14ac:dyDescent="0.3">
      <c r="A6085" t="s">
        <v>10162</v>
      </c>
      <c r="B6085" t="s">
        <v>54</v>
      </c>
      <c r="C6085">
        <v>8989697390</v>
      </c>
      <c r="D6085" s="2">
        <v>1</v>
      </c>
      <c r="E6085" t="str">
        <f>"4574674200821072"</f>
        <v>4574674200821072</v>
      </c>
      <c r="F6085" t="str">
        <f>"859"</f>
        <v>859</v>
      </c>
      <c r="G6085">
        <v>1</v>
      </c>
      <c r="H6085">
        <v>2023</v>
      </c>
      <c r="I6085" t="s">
        <v>6200</v>
      </c>
    </row>
    <row r="6086" spans="1:9" x14ac:dyDescent="0.3">
      <c r="A6086" t="s">
        <v>10162</v>
      </c>
      <c r="B6086" t="s">
        <v>54</v>
      </c>
      <c r="C6086">
        <v>8989697390</v>
      </c>
      <c r="D6086" s="2">
        <v>1</v>
      </c>
      <c r="E6086" t="str">
        <f>"4574674200821304"</f>
        <v>4574674200821304</v>
      </c>
      <c r="F6086" t="str">
        <f>"310"</f>
        <v>310</v>
      </c>
      <c r="G6086">
        <v>1</v>
      </c>
      <c r="H6086">
        <v>2023</v>
      </c>
      <c r="I6086" t="s">
        <v>6201</v>
      </c>
    </row>
    <row r="6087" spans="1:9" x14ac:dyDescent="0.3">
      <c r="A6087" t="s">
        <v>10162</v>
      </c>
      <c r="B6087" t="s">
        <v>54</v>
      </c>
      <c r="C6087">
        <v>8989697390</v>
      </c>
      <c r="D6087" s="2">
        <v>1</v>
      </c>
      <c r="E6087" t="str">
        <f>"4574674200821114"</f>
        <v>4574674200821114</v>
      </c>
      <c r="F6087" t="str">
        <f>"592"</f>
        <v>592</v>
      </c>
      <c r="G6087">
        <v>1</v>
      </c>
      <c r="H6087">
        <v>2023</v>
      </c>
      <c r="I6087" t="s">
        <v>6202</v>
      </c>
    </row>
    <row r="6088" spans="1:9" x14ac:dyDescent="0.3">
      <c r="A6088" t="s">
        <v>10140</v>
      </c>
      <c r="B6088" t="s">
        <v>55</v>
      </c>
      <c r="C6088">
        <v>8989697390</v>
      </c>
      <c r="D6088" s="2">
        <v>1</v>
      </c>
      <c r="E6088" t="str">
        <f>"4574674200821130"</f>
        <v>4574674200821130</v>
      </c>
      <c r="F6088" t="str">
        <f>"601"</f>
        <v>601</v>
      </c>
      <c r="G6088">
        <v>1</v>
      </c>
      <c r="H6088">
        <v>2023</v>
      </c>
      <c r="I6088" t="s">
        <v>6203</v>
      </c>
    </row>
    <row r="6089" spans="1:9" x14ac:dyDescent="0.3">
      <c r="A6089" t="s">
        <v>10140</v>
      </c>
      <c r="B6089" t="s">
        <v>55</v>
      </c>
      <c r="C6089">
        <v>8989697390</v>
      </c>
      <c r="D6089" s="2">
        <v>1</v>
      </c>
      <c r="E6089" t="str">
        <f>"4574674200821387"</f>
        <v>4574674200821387</v>
      </c>
      <c r="F6089" t="str">
        <f>"933"</f>
        <v>933</v>
      </c>
      <c r="G6089">
        <v>1</v>
      </c>
      <c r="H6089">
        <v>2023</v>
      </c>
      <c r="I6089" t="s">
        <v>6204</v>
      </c>
    </row>
    <row r="6090" spans="1:9" x14ac:dyDescent="0.3">
      <c r="A6090" t="s">
        <v>10140</v>
      </c>
      <c r="B6090" t="s">
        <v>55</v>
      </c>
      <c r="C6090">
        <v>8989697390</v>
      </c>
      <c r="D6090" s="2">
        <v>1</v>
      </c>
      <c r="E6090" t="str">
        <f>"4574674200821148"</f>
        <v>4574674200821148</v>
      </c>
      <c r="F6090" t="str">
        <f>"468"</f>
        <v>468</v>
      </c>
      <c r="G6090">
        <v>1</v>
      </c>
      <c r="H6090">
        <v>2023</v>
      </c>
      <c r="I6090" t="s">
        <v>6205</v>
      </c>
    </row>
    <row r="6091" spans="1:9" x14ac:dyDescent="0.3">
      <c r="A6091" t="s">
        <v>10140</v>
      </c>
      <c r="B6091" t="s">
        <v>55</v>
      </c>
      <c r="C6091">
        <v>8989697390</v>
      </c>
      <c r="D6091" s="2">
        <v>1</v>
      </c>
      <c r="E6091" t="str">
        <f>"4574674200821197"</f>
        <v>4574674200821197</v>
      </c>
      <c r="F6091" t="str">
        <f>"771"</f>
        <v>771</v>
      </c>
      <c r="G6091">
        <v>1</v>
      </c>
      <c r="H6091">
        <v>2023</v>
      </c>
      <c r="I6091" t="s">
        <v>6206</v>
      </c>
    </row>
    <row r="6092" spans="1:9" x14ac:dyDescent="0.3">
      <c r="A6092" t="s">
        <v>10140</v>
      </c>
      <c r="B6092" t="s">
        <v>55</v>
      </c>
      <c r="C6092">
        <v>8989697390</v>
      </c>
      <c r="D6092" s="2">
        <v>1</v>
      </c>
      <c r="E6092" t="str">
        <f>"4574674200821601"</f>
        <v>4574674200821601</v>
      </c>
      <c r="F6092" t="str">
        <f>"449"</f>
        <v>449</v>
      </c>
      <c r="G6092">
        <v>1</v>
      </c>
      <c r="H6092">
        <v>2023</v>
      </c>
      <c r="I6092" t="s">
        <v>6207</v>
      </c>
    </row>
    <row r="6093" spans="1:9" x14ac:dyDescent="0.3">
      <c r="A6093" t="s">
        <v>10140</v>
      </c>
      <c r="B6093" t="s">
        <v>55</v>
      </c>
      <c r="C6093">
        <v>8989697390</v>
      </c>
      <c r="D6093" s="2">
        <v>1</v>
      </c>
      <c r="E6093" t="str">
        <f>"4574674200821494"</f>
        <v>4574674200821494</v>
      </c>
      <c r="F6093" t="str">
        <f>"253"</f>
        <v>253</v>
      </c>
      <c r="G6093">
        <v>1</v>
      </c>
      <c r="H6093">
        <v>2023</v>
      </c>
      <c r="I6093" t="s">
        <v>6208</v>
      </c>
    </row>
    <row r="6094" spans="1:9" x14ac:dyDescent="0.3">
      <c r="A6094" t="s">
        <v>10140</v>
      </c>
      <c r="B6094" t="s">
        <v>55</v>
      </c>
      <c r="C6094">
        <v>8989697390</v>
      </c>
      <c r="D6094" s="2">
        <v>1</v>
      </c>
      <c r="E6094" t="str">
        <f>"4574674200821528"</f>
        <v>4574674200821528</v>
      </c>
      <c r="F6094" t="str">
        <f>"159"</f>
        <v>159</v>
      </c>
      <c r="G6094">
        <v>1</v>
      </c>
      <c r="H6094">
        <v>2023</v>
      </c>
      <c r="I6094" t="s">
        <v>6209</v>
      </c>
    </row>
    <row r="6095" spans="1:9" x14ac:dyDescent="0.3">
      <c r="A6095" t="s">
        <v>10140</v>
      </c>
      <c r="B6095" t="s">
        <v>55</v>
      </c>
      <c r="C6095">
        <v>8989697390</v>
      </c>
      <c r="D6095" s="2">
        <v>1</v>
      </c>
      <c r="E6095" t="str">
        <f>"4574674200821643"</f>
        <v>4574674200821643</v>
      </c>
      <c r="F6095" t="str">
        <f>"946"</f>
        <v>946</v>
      </c>
      <c r="G6095">
        <v>1</v>
      </c>
      <c r="H6095">
        <v>2023</v>
      </c>
      <c r="I6095" t="s">
        <v>6210</v>
      </c>
    </row>
    <row r="6096" spans="1:9" x14ac:dyDescent="0.3">
      <c r="A6096" t="s">
        <v>10140</v>
      </c>
      <c r="B6096" t="s">
        <v>55</v>
      </c>
      <c r="C6096">
        <v>8989697390</v>
      </c>
      <c r="D6096" s="2">
        <v>1</v>
      </c>
      <c r="E6096" t="str">
        <f>"4574674200821668"</f>
        <v>4574674200821668</v>
      </c>
      <c r="F6096" t="str">
        <f>"865"</f>
        <v>865</v>
      </c>
      <c r="G6096">
        <v>1</v>
      </c>
      <c r="H6096">
        <v>2023</v>
      </c>
      <c r="I6096" t="s">
        <v>6211</v>
      </c>
    </row>
    <row r="6097" spans="1:9" x14ac:dyDescent="0.3">
      <c r="A6097" t="s">
        <v>10140</v>
      </c>
      <c r="B6097" t="s">
        <v>55</v>
      </c>
      <c r="C6097">
        <v>8989697390</v>
      </c>
      <c r="D6097" s="2">
        <v>1</v>
      </c>
      <c r="E6097" t="str">
        <f>"4574674200821650"</f>
        <v>4574674200821650</v>
      </c>
      <c r="F6097" t="str">
        <f>"214"</f>
        <v>214</v>
      </c>
      <c r="G6097">
        <v>1</v>
      </c>
      <c r="H6097">
        <v>2023</v>
      </c>
      <c r="I6097" t="s">
        <v>6212</v>
      </c>
    </row>
    <row r="6098" spans="1:9" x14ac:dyDescent="0.3">
      <c r="A6098" t="s">
        <v>10133</v>
      </c>
      <c r="B6098" t="s">
        <v>56</v>
      </c>
      <c r="C6098">
        <v>8989697390</v>
      </c>
      <c r="D6098" s="2">
        <v>1</v>
      </c>
      <c r="E6098" t="str">
        <f>"4574674200821692"</f>
        <v>4574674200821692</v>
      </c>
      <c r="F6098" t="str">
        <f>"021"</f>
        <v>021</v>
      </c>
      <c r="G6098">
        <v>1</v>
      </c>
      <c r="H6098">
        <v>2023</v>
      </c>
      <c r="I6098" t="s">
        <v>6213</v>
      </c>
    </row>
    <row r="6099" spans="1:9" x14ac:dyDescent="0.3">
      <c r="A6099" t="s">
        <v>10133</v>
      </c>
      <c r="B6099" t="s">
        <v>56</v>
      </c>
      <c r="C6099">
        <v>8989697390</v>
      </c>
      <c r="D6099" s="2">
        <v>1</v>
      </c>
      <c r="E6099" t="str">
        <f>"4574674200821858"</f>
        <v>4574674200821858</v>
      </c>
      <c r="F6099" t="str">
        <f>"436"</f>
        <v>436</v>
      </c>
      <c r="G6099">
        <v>1</v>
      </c>
      <c r="H6099">
        <v>2023</v>
      </c>
      <c r="I6099" t="s">
        <v>6214</v>
      </c>
    </row>
    <row r="6100" spans="1:9" x14ac:dyDescent="0.3">
      <c r="A6100" t="s">
        <v>10133</v>
      </c>
      <c r="B6100" t="s">
        <v>56</v>
      </c>
      <c r="C6100">
        <v>8989697390</v>
      </c>
      <c r="D6100" s="2">
        <v>1</v>
      </c>
      <c r="E6100" t="str">
        <f>"4574674200821726"</f>
        <v>4574674200821726</v>
      </c>
      <c r="F6100" t="str">
        <f>"105"</f>
        <v>105</v>
      </c>
      <c r="G6100">
        <v>1</v>
      </c>
      <c r="H6100">
        <v>2023</v>
      </c>
      <c r="I6100" t="s">
        <v>6215</v>
      </c>
    </row>
    <row r="6101" spans="1:9" x14ac:dyDescent="0.3">
      <c r="A6101" t="s">
        <v>10133</v>
      </c>
      <c r="B6101" t="s">
        <v>56</v>
      </c>
      <c r="C6101">
        <v>8989697390</v>
      </c>
      <c r="D6101" s="2">
        <v>1</v>
      </c>
      <c r="E6101" t="str">
        <f>"4574674200821866"</f>
        <v>4574674200821866</v>
      </c>
      <c r="F6101" t="str">
        <f>"180"</f>
        <v>180</v>
      </c>
      <c r="G6101">
        <v>1</v>
      </c>
      <c r="H6101">
        <v>2023</v>
      </c>
      <c r="I6101" t="s">
        <v>6216</v>
      </c>
    </row>
    <row r="6102" spans="1:9" x14ac:dyDescent="0.3">
      <c r="A6102" t="s">
        <v>10133</v>
      </c>
      <c r="B6102" t="s">
        <v>56</v>
      </c>
      <c r="C6102">
        <v>8989697390</v>
      </c>
      <c r="D6102" s="2">
        <v>1</v>
      </c>
      <c r="E6102" t="str">
        <f>"4574674200821759"</f>
        <v>4574674200821759</v>
      </c>
      <c r="F6102" t="str">
        <f>"871"</f>
        <v>871</v>
      </c>
      <c r="G6102">
        <v>1</v>
      </c>
      <c r="H6102">
        <v>2023</v>
      </c>
      <c r="I6102" t="s">
        <v>6217</v>
      </c>
    </row>
    <row r="6103" spans="1:9" x14ac:dyDescent="0.3">
      <c r="A6103" t="s">
        <v>10133</v>
      </c>
      <c r="B6103" t="s">
        <v>56</v>
      </c>
      <c r="C6103">
        <v>8989697390</v>
      </c>
      <c r="D6103" s="2">
        <v>1</v>
      </c>
      <c r="E6103" t="str">
        <f>"4574674200821767"</f>
        <v>4574674200821767</v>
      </c>
      <c r="F6103" t="str">
        <f>"648"</f>
        <v>648</v>
      </c>
      <c r="G6103">
        <v>1</v>
      </c>
      <c r="H6103">
        <v>2023</v>
      </c>
      <c r="I6103" t="s">
        <v>6218</v>
      </c>
    </row>
    <row r="6104" spans="1:9" x14ac:dyDescent="0.3">
      <c r="A6104" t="s">
        <v>10133</v>
      </c>
      <c r="B6104" t="s">
        <v>56</v>
      </c>
      <c r="C6104">
        <v>8989697390</v>
      </c>
      <c r="D6104" s="2">
        <v>1</v>
      </c>
      <c r="E6104" t="str">
        <f>"4574674200822021"</f>
        <v>4574674200822021</v>
      </c>
      <c r="F6104" t="str">
        <f>"005"</f>
        <v>005</v>
      </c>
      <c r="G6104">
        <v>1</v>
      </c>
      <c r="H6104">
        <v>2023</v>
      </c>
      <c r="I6104" t="s">
        <v>6219</v>
      </c>
    </row>
    <row r="6105" spans="1:9" x14ac:dyDescent="0.3">
      <c r="A6105" t="s">
        <v>10133</v>
      </c>
      <c r="B6105" t="s">
        <v>56</v>
      </c>
      <c r="C6105">
        <v>8989697390</v>
      </c>
      <c r="D6105" s="2">
        <v>1</v>
      </c>
      <c r="E6105" t="str">
        <f>"4574674200822005"</f>
        <v>4574674200822005</v>
      </c>
      <c r="F6105" t="str">
        <f>"545"</f>
        <v>545</v>
      </c>
      <c r="G6105">
        <v>1</v>
      </c>
      <c r="H6105">
        <v>2023</v>
      </c>
      <c r="I6105" t="s">
        <v>6220</v>
      </c>
    </row>
    <row r="6106" spans="1:9" x14ac:dyDescent="0.3">
      <c r="A6106" t="s">
        <v>10133</v>
      </c>
      <c r="B6106" t="s">
        <v>56</v>
      </c>
      <c r="C6106">
        <v>8989697390</v>
      </c>
      <c r="D6106" s="2">
        <v>1</v>
      </c>
      <c r="E6106" t="str">
        <f>"4574674200822203"</f>
        <v>4574674200822203</v>
      </c>
      <c r="F6106" t="str">
        <f>"233"</f>
        <v>233</v>
      </c>
      <c r="G6106">
        <v>1</v>
      </c>
      <c r="H6106">
        <v>2023</v>
      </c>
      <c r="I6106" t="s">
        <v>6221</v>
      </c>
    </row>
    <row r="6107" spans="1:9" x14ac:dyDescent="0.3">
      <c r="A6107" t="s">
        <v>10133</v>
      </c>
      <c r="B6107" t="s">
        <v>56</v>
      </c>
      <c r="C6107">
        <v>8989697390</v>
      </c>
      <c r="D6107" s="2">
        <v>1</v>
      </c>
      <c r="E6107" t="str">
        <f>"4574674200822229"</f>
        <v>4574674200822229</v>
      </c>
      <c r="F6107" t="str">
        <f>"391"</f>
        <v>391</v>
      </c>
      <c r="G6107">
        <v>1</v>
      </c>
      <c r="H6107">
        <v>2023</v>
      </c>
      <c r="I6107" t="s">
        <v>6222</v>
      </c>
    </row>
    <row r="6108" spans="1:9" x14ac:dyDescent="0.3">
      <c r="A6108" t="s">
        <v>10163</v>
      </c>
      <c r="B6108" t="s">
        <v>57</v>
      </c>
      <c r="C6108">
        <v>8989697390</v>
      </c>
      <c r="D6108" s="2">
        <v>1</v>
      </c>
      <c r="E6108" t="str">
        <f>"4574674200822062"</f>
        <v>4574674200822062</v>
      </c>
      <c r="F6108" t="str">
        <f>"496"</f>
        <v>496</v>
      </c>
      <c r="G6108">
        <v>1</v>
      </c>
      <c r="H6108">
        <v>2023</v>
      </c>
      <c r="I6108" t="s">
        <v>6223</v>
      </c>
    </row>
    <row r="6109" spans="1:9" x14ac:dyDescent="0.3">
      <c r="A6109" t="s">
        <v>10163</v>
      </c>
      <c r="B6109" t="s">
        <v>57</v>
      </c>
      <c r="C6109">
        <v>8989697390</v>
      </c>
      <c r="D6109" s="2">
        <v>1</v>
      </c>
      <c r="E6109" t="str">
        <f>"4574674200822047"</f>
        <v>4574674200822047</v>
      </c>
      <c r="F6109" t="str">
        <f>"451"</f>
        <v>451</v>
      </c>
      <c r="G6109">
        <v>1</v>
      </c>
      <c r="H6109">
        <v>2023</v>
      </c>
      <c r="I6109" t="s">
        <v>6224</v>
      </c>
    </row>
    <row r="6110" spans="1:9" x14ac:dyDescent="0.3">
      <c r="A6110" t="s">
        <v>10163</v>
      </c>
      <c r="B6110" t="s">
        <v>57</v>
      </c>
      <c r="C6110">
        <v>8989697390</v>
      </c>
      <c r="D6110" s="2">
        <v>1</v>
      </c>
      <c r="E6110" t="str">
        <f>"4574674200822096"</f>
        <v>4574674200822096</v>
      </c>
      <c r="F6110" t="str">
        <f>"968"</f>
        <v>968</v>
      </c>
      <c r="G6110">
        <v>1</v>
      </c>
      <c r="H6110">
        <v>2023</v>
      </c>
      <c r="I6110" t="s">
        <v>6225</v>
      </c>
    </row>
    <row r="6111" spans="1:9" x14ac:dyDescent="0.3">
      <c r="A6111" t="s">
        <v>10163</v>
      </c>
      <c r="B6111" t="s">
        <v>57</v>
      </c>
      <c r="C6111">
        <v>8989697390</v>
      </c>
      <c r="D6111" s="2">
        <v>1</v>
      </c>
      <c r="E6111" t="str">
        <f>"4574674200822104"</f>
        <v>4574674200822104</v>
      </c>
      <c r="F6111" t="str">
        <f>"555"</f>
        <v>555</v>
      </c>
      <c r="G6111">
        <v>1</v>
      </c>
      <c r="H6111">
        <v>2023</v>
      </c>
      <c r="I6111" t="s">
        <v>6226</v>
      </c>
    </row>
    <row r="6112" spans="1:9" x14ac:dyDescent="0.3">
      <c r="A6112" t="s">
        <v>10163</v>
      </c>
      <c r="B6112" t="s">
        <v>57</v>
      </c>
      <c r="C6112">
        <v>8989697390</v>
      </c>
      <c r="D6112" s="2">
        <v>1</v>
      </c>
      <c r="E6112" t="str">
        <f>"4574674200822146"</f>
        <v>4574674200822146</v>
      </c>
      <c r="F6112" t="str">
        <f>"623"</f>
        <v>623</v>
      </c>
      <c r="G6112">
        <v>1</v>
      </c>
      <c r="H6112">
        <v>2023</v>
      </c>
      <c r="I6112" t="s">
        <v>6227</v>
      </c>
    </row>
    <row r="6113" spans="1:9" x14ac:dyDescent="0.3">
      <c r="A6113" t="s">
        <v>10163</v>
      </c>
      <c r="B6113" t="s">
        <v>57</v>
      </c>
      <c r="C6113">
        <v>8989697390</v>
      </c>
      <c r="D6113" s="2">
        <v>1</v>
      </c>
      <c r="E6113" t="str">
        <f>"4574674200822161"</f>
        <v>4574674200822161</v>
      </c>
      <c r="F6113" t="str">
        <f>"789"</f>
        <v>789</v>
      </c>
      <c r="G6113">
        <v>1</v>
      </c>
      <c r="H6113">
        <v>2023</v>
      </c>
      <c r="I6113" t="s">
        <v>6228</v>
      </c>
    </row>
    <row r="6114" spans="1:9" x14ac:dyDescent="0.3">
      <c r="A6114" t="s">
        <v>10163</v>
      </c>
      <c r="B6114" t="s">
        <v>57</v>
      </c>
      <c r="C6114">
        <v>8989697390</v>
      </c>
      <c r="D6114" s="2">
        <v>1</v>
      </c>
      <c r="E6114" t="str">
        <f>"4574674200822609"</f>
        <v>4574674200822609</v>
      </c>
      <c r="F6114" t="str">
        <f>"611"</f>
        <v>611</v>
      </c>
      <c r="G6114">
        <v>1</v>
      </c>
      <c r="H6114">
        <v>2023</v>
      </c>
      <c r="I6114" t="s">
        <v>6229</v>
      </c>
    </row>
    <row r="6115" spans="1:9" x14ac:dyDescent="0.3">
      <c r="A6115" t="s">
        <v>10163</v>
      </c>
      <c r="B6115" t="s">
        <v>57</v>
      </c>
      <c r="C6115">
        <v>8989697390</v>
      </c>
      <c r="D6115" s="2">
        <v>1</v>
      </c>
      <c r="E6115" t="str">
        <f>"4574674200822625"</f>
        <v>4574674200822625</v>
      </c>
      <c r="F6115" t="str">
        <f>"079"</f>
        <v>079</v>
      </c>
      <c r="G6115">
        <v>1</v>
      </c>
      <c r="H6115">
        <v>2023</v>
      </c>
      <c r="I6115" t="s">
        <v>6230</v>
      </c>
    </row>
    <row r="6116" spans="1:9" x14ac:dyDescent="0.3">
      <c r="A6116" t="s">
        <v>10163</v>
      </c>
      <c r="B6116" t="s">
        <v>57</v>
      </c>
      <c r="C6116">
        <v>8989697390</v>
      </c>
      <c r="D6116" s="2">
        <v>1</v>
      </c>
      <c r="E6116" t="str">
        <f>"4574674200822633"</f>
        <v>4574674200822633</v>
      </c>
      <c r="F6116" t="str">
        <f>"720"</f>
        <v>720</v>
      </c>
      <c r="G6116">
        <v>1</v>
      </c>
      <c r="H6116">
        <v>2023</v>
      </c>
      <c r="I6116" t="s">
        <v>6231</v>
      </c>
    </row>
    <row r="6117" spans="1:9" x14ac:dyDescent="0.3">
      <c r="A6117" t="s">
        <v>10163</v>
      </c>
      <c r="B6117" t="s">
        <v>57</v>
      </c>
      <c r="C6117">
        <v>8989697390</v>
      </c>
      <c r="D6117" s="2">
        <v>1</v>
      </c>
      <c r="E6117" t="str">
        <f>"4574674200822666"</f>
        <v>4574674200822666</v>
      </c>
      <c r="F6117" t="str">
        <f>"582"</f>
        <v>582</v>
      </c>
      <c r="G6117">
        <v>1</v>
      </c>
      <c r="H6117">
        <v>2023</v>
      </c>
      <c r="I6117" t="s">
        <v>6232</v>
      </c>
    </row>
    <row r="6118" spans="1:9" x14ac:dyDescent="0.3">
      <c r="A6118" t="s">
        <v>10164</v>
      </c>
      <c r="B6118" t="s">
        <v>58</v>
      </c>
      <c r="C6118">
        <v>8989697390</v>
      </c>
      <c r="D6118" s="2">
        <v>1</v>
      </c>
      <c r="E6118" t="str">
        <f>"4574674200822690"</f>
        <v>4574674200822690</v>
      </c>
      <c r="F6118" t="str">
        <f>"750"</f>
        <v>750</v>
      </c>
      <c r="G6118">
        <v>1</v>
      </c>
      <c r="H6118">
        <v>2023</v>
      </c>
      <c r="I6118" t="s">
        <v>6233</v>
      </c>
    </row>
    <row r="6119" spans="1:9" x14ac:dyDescent="0.3">
      <c r="A6119" t="s">
        <v>10164</v>
      </c>
      <c r="B6119" t="s">
        <v>58</v>
      </c>
      <c r="C6119">
        <v>8989697390</v>
      </c>
      <c r="D6119" s="2">
        <v>1</v>
      </c>
      <c r="E6119" t="str">
        <f>"4574674200823326"</f>
        <v>4574674200823326</v>
      </c>
      <c r="F6119" t="str">
        <f>"266"</f>
        <v>266</v>
      </c>
      <c r="G6119">
        <v>1</v>
      </c>
      <c r="H6119">
        <v>2023</v>
      </c>
      <c r="I6119" t="s">
        <v>6234</v>
      </c>
    </row>
    <row r="6120" spans="1:9" x14ac:dyDescent="0.3">
      <c r="A6120" t="s">
        <v>10164</v>
      </c>
      <c r="B6120" t="s">
        <v>58</v>
      </c>
      <c r="C6120">
        <v>8989697390</v>
      </c>
      <c r="D6120" s="2">
        <v>1</v>
      </c>
      <c r="E6120" t="str">
        <f>"4574674200823458"</f>
        <v>4574674200823458</v>
      </c>
      <c r="F6120" t="str">
        <f>"632"</f>
        <v>632</v>
      </c>
      <c r="G6120">
        <v>1</v>
      </c>
      <c r="H6120">
        <v>2023</v>
      </c>
      <c r="I6120" t="s">
        <v>6235</v>
      </c>
    </row>
    <row r="6121" spans="1:9" x14ac:dyDescent="0.3">
      <c r="A6121" t="s">
        <v>10164</v>
      </c>
      <c r="B6121" t="s">
        <v>58</v>
      </c>
      <c r="C6121">
        <v>8989697390</v>
      </c>
      <c r="D6121" s="2">
        <v>1</v>
      </c>
      <c r="E6121" t="str">
        <f>"4574674200823706"</f>
        <v>4574674200823706</v>
      </c>
      <c r="F6121" t="str">
        <f>"373"</f>
        <v>373</v>
      </c>
      <c r="G6121">
        <v>1</v>
      </c>
      <c r="H6121">
        <v>2023</v>
      </c>
      <c r="I6121" t="s">
        <v>6236</v>
      </c>
    </row>
    <row r="6122" spans="1:9" x14ac:dyDescent="0.3">
      <c r="A6122" t="s">
        <v>10164</v>
      </c>
      <c r="B6122" t="s">
        <v>58</v>
      </c>
      <c r="C6122">
        <v>8989697390</v>
      </c>
      <c r="D6122" s="2">
        <v>1</v>
      </c>
      <c r="E6122" t="str">
        <f>"4574674200823532"</f>
        <v>4574674200823532</v>
      </c>
      <c r="F6122" t="str">
        <f>"085"</f>
        <v>085</v>
      </c>
      <c r="G6122">
        <v>1</v>
      </c>
      <c r="H6122">
        <v>2023</v>
      </c>
      <c r="I6122" t="s">
        <v>6237</v>
      </c>
    </row>
    <row r="6123" spans="1:9" x14ac:dyDescent="0.3">
      <c r="A6123" t="s">
        <v>10164</v>
      </c>
      <c r="B6123" t="s">
        <v>58</v>
      </c>
      <c r="C6123">
        <v>8989697390</v>
      </c>
      <c r="D6123" s="2">
        <v>1</v>
      </c>
      <c r="E6123" t="str">
        <f>"4574674200823748"</f>
        <v>4574674200823748</v>
      </c>
      <c r="F6123" t="str">
        <f>"341"</f>
        <v>341</v>
      </c>
      <c r="G6123">
        <v>1</v>
      </c>
      <c r="H6123">
        <v>2023</v>
      </c>
      <c r="I6123" t="s">
        <v>6238</v>
      </c>
    </row>
    <row r="6124" spans="1:9" x14ac:dyDescent="0.3">
      <c r="A6124" t="s">
        <v>10164</v>
      </c>
      <c r="B6124" t="s">
        <v>58</v>
      </c>
      <c r="C6124">
        <v>8989697390</v>
      </c>
      <c r="D6124" s="2">
        <v>1</v>
      </c>
      <c r="E6124" t="str">
        <f>"4574674200823755"</f>
        <v>4574674200823755</v>
      </c>
      <c r="F6124" t="str">
        <f>"641"</f>
        <v>641</v>
      </c>
      <c r="G6124">
        <v>1</v>
      </c>
      <c r="H6124">
        <v>2023</v>
      </c>
      <c r="I6124" t="s">
        <v>6239</v>
      </c>
    </row>
    <row r="6125" spans="1:9" x14ac:dyDescent="0.3">
      <c r="A6125" t="s">
        <v>10164</v>
      </c>
      <c r="B6125" t="s">
        <v>58</v>
      </c>
      <c r="C6125">
        <v>8989697390</v>
      </c>
      <c r="D6125" s="2">
        <v>1</v>
      </c>
      <c r="E6125" t="str">
        <f>"4574674200823763"</f>
        <v>4574674200823763</v>
      </c>
      <c r="F6125" t="str">
        <f>"101"</f>
        <v>101</v>
      </c>
      <c r="G6125">
        <v>1</v>
      </c>
      <c r="H6125">
        <v>2023</v>
      </c>
      <c r="I6125" t="s">
        <v>6240</v>
      </c>
    </row>
    <row r="6126" spans="1:9" x14ac:dyDescent="0.3">
      <c r="A6126" t="s">
        <v>10164</v>
      </c>
      <c r="B6126" t="s">
        <v>58</v>
      </c>
      <c r="C6126">
        <v>8989697390</v>
      </c>
      <c r="D6126" s="2">
        <v>1</v>
      </c>
      <c r="E6126" t="str">
        <f>"4574674200823771"</f>
        <v>4574674200823771</v>
      </c>
      <c r="F6126" t="str">
        <f>"768"</f>
        <v>768</v>
      </c>
      <c r="G6126">
        <v>1</v>
      </c>
      <c r="H6126">
        <v>2023</v>
      </c>
      <c r="I6126" t="s">
        <v>6241</v>
      </c>
    </row>
    <row r="6127" spans="1:9" x14ac:dyDescent="0.3">
      <c r="A6127" t="s">
        <v>10164</v>
      </c>
      <c r="B6127" t="s">
        <v>58</v>
      </c>
      <c r="C6127">
        <v>8989697390</v>
      </c>
      <c r="D6127" s="2">
        <v>1</v>
      </c>
      <c r="E6127" t="str">
        <f>"4574674200823839"</f>
        <v>4574674200823839</v>
      </c>
      <c r="F6127" t="str">
        <f>"071"</f>
        <v>071</v>
      </c>
      <c r="G6127">
        <v>1</v>
      </c>
      <c r="H6127">
        <v>2023</v>
      </c>
      <c r="I6127" t="s">
        <v>6242</v>
      </c>
    </row>
    <row r="6128" spans="1:9" x14ac:dyDescent="0.3">
      <c r="A6128" t="s">
        <v>10165</v>
      </c>
      <c r="B6128" t="s">
        <v>59</v>
      </c>
      <c r="C6128">
        <v>8989697390</v>
      </c>
      <c r="D6128" s="2">
        <v>1</v>
      </c>
      <c r="E6128" t="str">
        <f>"4574674200824027"</f>
        <v>4574674200824027</v>
      </c>
      <c r="F6128" t="str">
        <f>"469"</f>
        <v>469</v>
      </c>
      <c r="G6128">
        <v>1</v>
      </c>
      <c r="H6128">
        <v>2023</v>
      </c>
      <c r="I6128" t="s">
        <v>6243</v>
      </c>
    </row>
    <row r="6129" spans="1:9" x14ac:dyDescent="0.3">
      <c r="A6129" t="s">
        <v>10165</v>
      </c>
      <c r="B6129" t="s">
        <v>59</v>
      </c>
      <c r="C6129">
        <v>8989697390</v>
      </c>
      <c r="D6129" s="2">
        <v>1</v>
      </c>
      <c r="E6129" t="str">
        <f>"4574674200824035"</f>
        <v>4574674200824035</v>
      </c>
      <c r="F6129" t="str">
        <f>"335"</f>
        <v>335</v>
      </c>
      <c r="G6129">
        <v>1</v>
      </c>
      <c r="H6129">
        <v>2023</v>
      </c>
      <c r="I6129" t="s">
        <v>6244</v>
      </c>
    </row>
    <row r="6130" spans="1:9" x14ac:dyDescent="0.3">
      <c r="A6130" t="s">
        <v>10165</v>
      </c>
      <c r="B6130" t="s">
        <v>59</v>
      </c>
      <c r="C6130">
        <v>8989697390</v>
      </c>
      <c r="D6130" s="2">
        <v>1</v>
      </c>
      <c r="E6130" t="str">
        <f>"4574674200824043"</f>
        <v>4574674200824043</v>
      </c>
      <c r="F6130" t="str">
        <f>"036"</f>
        <v>036</v>
      </c>
      <c r="G6130">
        <v>1</v>
      </c>
      <c r="H6130">
        <v>2023</v>
      </c>
      <c r="I6130" t="s">
        <v>6245</v>
      </c>
    </row>
    <row r="6131" spans="1:9" x14ac:dyDescent="0.3">
      <c r="A6131" t="s">
        <v>10165</v>
      </c>
      <c r="B6131" t="s">
        <v>59</v>
      </c>
      <c r="C6131">
        <v>8989697390</v>
      </c>
      <c r="D6131" s="2">
        <v>1</v>
      </c>
      <c r="E6131" t="str">
        <f>"4574674200824076"</f>
        <v>4574674200824076</v>
      </c>
      <c r="F6131" t="str">
        <f>"698"</f>
        <v>698</v>
      </c>
      <c r="G6131">
        <v>1</v>
      </c>
      <c r="H6131">
        <v>2023</v>
      </c>
      <c r="I6131" t="s">
        <v>6246</v>
      </c>
    </row>
    <row r="6132" spans="1:9" x14ac:dyDescent="0.3">
      <c r="A6132" t="s">
        <v>10165</v>
      </c>
      <c r="B6132" t="s">
        <v>59</v>
      </c>
      <c r="C6132">
        <v>8989697390</v>
      </c>
      <c r="D6132" s="2">
        <v>1</v>
      </c>
      <c r="E6132" t="str">
        <f>"4574674200824118"</f>
        <v>4574674200824118</v>
      </c>
      <c r="F6132" t="str">
        <f>"674"</f>
        <v>674</v>
      </c>
      <c r="G6132">
        <v>1</v>
      </c>
      <c r="H6132">
        <v>2023</v>
      </c>
      <c r="I6132" t="s">
        <v>6247</v>
      </c>
    </row>
    <row r="6133" spans="1:9" x14ac:dyDescent="0.3">
      <c r="A6133" t="s">
        <v>10165</v>
      </c>
      <c r="B6133" t="s">
        <v>59</v>
      </c>
      <c r="C6133">
        <v>8989697390</v>
      </c>
      <c r="D6133" s="2">
        <v>1</v>
      </c>
      <c r="E6133" t="str">
        <f>"4574674200823946"</f>
        <v>4574674200823946</v>
      </c>
      <c r="F6133" t="str">
        <f>"288"</f>
        <v>288</v>
      </c>
      <c r="G6133">
        <v>1</v>
      </c>
      <c r="H6133">
        <v>2023</v>
      </c>
      <c r="I6133" t="s">
        <v>6248</v>
      </c>
    </row>
    <row r="6134" spans="1:9" x14ac:dyDescent="0.3">
      <c r="A6134" t="s">
        <v>10165</v>
      </c>
      <c r="B6134" t="s">
        <v>59</v>
      </c>
      <c r="C6134">
        <v>8989697390</v>
      </c>
      <c r="D6134" s="2">
        <v>1</v>
      </c>
      <c r="E6134" t="str">
        <f>"4574674200823904"</f>
        <v>4574674200823904</v>
      </c>
      <c r="F6134" t="str">
        <f>"445"</f>
        <v>445</v>
      </c>
      <c r="G6134">
        <v>1</v>
      </c>
      <c r="H6134">
        <v>2023</v>
      </c>
      <c r="I6134" t="s">
        <v>6249</v>
      </c>
    </row>
    <row r="6135" spans="1:9" x14ac:dyDescent="0.3">
      <c r="A6135" t="s">
        <v>10165</v>
      </c>
      <c r="B6135" t="s">
        <v>59</v>
      </c>
      <c r="C6135">
        <v>8989697390</v>
      </c>
      <c r="D6135" s="2">
        <v>1</v>
      </c>
      <c r="E6135" t="str">
        <f>"4574674200824142"</f>
        <v>4574674200824142</v>
      </c>
      <c r="F6135" t="str">
        <f>"680"</f>
        <v>680</v>
      </c>
      <c r="G6135">
        <v>1</v>
      </c>
      <c r="H6135">
        <v>2023</v>
      </c>
      <c r="I6135" t="s">
        <v>6250</v>
      </c>
    </row>
    <row r="6136" spans="1:9" x14ac:dyDescent="0.3">
      <c r="A6136" t="s">
        <v>10165</v>
      </c>
      <c r="B6136" t="s">
        <v>59</v>
      </c>
      <c r="C6136">
        <v>8989697390</v>
      </c>
      <c r="D6136" s="2">
        <v>1</v>
      </c>
      <c r="E6136" t="str">
        <f>"4574674200824407"</f>
        <v>4574674200824407</v>
      </c>
      <c r="F6136" t="str">
        <f>"140"</f>
        <v>140</v>
      </c>
      <c r="G6136">
        <v>1</v>
      </c>
      <c r="H6136">
        <v>2023</v>
      </c>
      <c r="I6136" t="s">
        <v>6251</v>
      </c>
    </row>
    <row r="6137" spans="1:9" x14ac:dyDescent="0.3">
      <c r="A6137" t="s">
        <v>10165</v>
      </c>
      <c r="B6137" t="s">
        <v>59</v>
      </c>
      <c r="C6137">
        <v>8989697390</v>
      </c>
      <c r="D6137" s="2">
        <v>1</v>
      </c>
      <c r="E6137" t="str">
        <f>"4574674200824167"</f>
        <v>4574674200824167</v>
      </c>
      <c r="F6137" t="str">
        <f>"562"</f>
        <v>562</v>
      </c>
      <c r="G6137">
        <v>1</v>
      </c>
      <c r="H6137">
        <v>2023</v>
      </c>
      <c r="I6137" t="s">
        <v>6252</v>
      </c>
    </row>
    <row r="6138" spans="1:9" x14ac:dyDescent="0.3">
      <c r="A6138" t="s">
        <v>10166</v>
      </c>
      <c r="B6138" t="s">
        <v>60</v>
      </c>
      <c r="C6138">
        <v>8989697390</v>
      </c>
      <c r="D6138" s="2">
        <v>1</v>
      </c>
      <c r="E6138" t="str">
        <f>"4574674200824191"</f>
        <v>4574674200824191</v>
      </c>
      <c r="F6138" t="str">
        <f>"174"</f>
        <v>174</v>
      </c>
      <c r="G6138">
        <v>1</v>
      </c>
      <c r="H6138">
        <v>2023</v>
      </c>
      <c r="I6138" t="s">
        <v>6253</v>
      </c>
    </row>
    <row r="6139" spans="1:9" x14ac:dyDescent="0.3">
      <c r="A6139" t="s">
        <v>10166</v>
      </c>
      <c r="B6139" t="s">
        <v>60</v>
      </c>
      <c r="C6139">
        <v>8989697390</v>
      </c>
      <c r="D6139" s="2">
        <v>1</v>
      </c>
      <c r="E6139" t="str">
        <f>"4574674200824423"</f>
        <v>4574674200824423</v>
      </c>
      <c r="F6139" t="str">
        <f>"906"</f>
        <v>906</v>
      </c>
      <c r="G6139">
        <v>1</v>
      </c>
      <c r="H6139">
        <v>2023</v>
      </c>
      <c r="I6139" t="s">
        <v>6254</v>
      </c>
    </row>
    <row r="6140" spans="1:9" x14ac:dyDescent="0.3">
      <c r="A6140" t="s">
        <v>10166</v>
      </c>
      <c r="B6140" t="s">
        <v>60</v>
      </c>
      <c r="C6140">
        <v>8989697390</v>
      </c>
      <c r="D6140" s="2">
        <v>1</v>
      </c>
      <c r="E6140" t="str">
        <f>"4574674200824316"</f>
        <v>4574674200824316</v>
      </c>
      <c r="F6140" t="str">
        <f>"082"</f>
        <v>082</v>
      </c>
      <c r="G6140">
        <v>1</v>
      </c>
      <c r="H6140">
        <v>2023</v>
      </c>
      <c r="I6140" t="s">
        <v>6255</v>
      </c>
    </row>
    <row r="6141" spans="1:9" x14ac:dyDescent="0.3">
      <c r="A6141" t="s">
        <v>10166</v>
      </c>
      <c r="B6141" t="s">
        <v>60</v>
      </c>
      <c r="C6141">
        <v>8989697390</v>
      </c>
      <c r="D6141" s="2">
        <v>1</v>
      </c>
      <c r="E6141" t="str">
        <f>"4574674200824282"</f>
        <v>4574674200824282</v>
      </c>
      <c r="F6141" t="str">
        <f>"823"</f>
        <v>823</v>
      </c>
      <c r="G6141">
        <v>1</v>
      </c>
      <c r="H6141">
        <v>2023</v>
      </c>
      <c r="I6141" t="s">
        <v>6256</v>
      </c>
    </row>
    <row r="6142" spans="1:9" x14ac:dyDescent="0.3">
      <c r="A6142" t="s">
        <v>10166</v>
      </c>
      <c r="B6142" t="s">
        <v>60</v>
      </c>
      <c r="C6142">
        <v>8989697390</v>
      </c>
      <c r="D6142" s="2">
        <v>1</v>
      </c>
      <c r="E6142" t="str">
        <f>"4574674200824464"</f>
        <v>4574674200824464</v>
      </c>
      <c r="F6142" t="str">
        <f>"732"</f>
        <v>732</v>
      </c>
      <c r="G6142">
        <v>1</v>
      </c>
      <c r="H6142">
        <v>2023</v>
      </c>
      <c r="I6142" t="s">
        <v>6257</v>
      </c>
    </row>
    <row r="6143" spans="1:9" x14ac:dyDescent="0.3">
      <c r="A6143" t="s">
        <v>10166</v>
      </c>
      <c r="B6143" t="s">
        <v>60</v>
      </c>
      <c r="C6143">
        <v>8989697390</v>
      </c>
      <c r="D6143" s="2">
        <v>1</v>
      </c>
      <c r="E6143" t="str">
        <f>"4574674200824530"</f>
        <v>4574674200824530</v>
      </c>
      <c r="F6143" t="str">
        <f>"740"</f>
        <v>740</v>
      </c>
      <c r="G6143">
        <v>1</v>
      </c>
      <c r="H6143">
        <v>2023</v>
      </c>
      <c r="I6143" t="s">
        <v>6258</v>
      </c>
    </row>
    <row r="6144" spans="1:9" x14ac:dyDescent="0.3">
      <c r="A6144" t="s">
        <v>10166</v>
      </c>
      <c r="B6144" t="s">
        <v>60</v>
      </c>
      <c r="C6144">
        <v>8989697390</v>
      </c>
      <c r="D6144" s="2">
        <v>1</v>
      </c>
      <c r="E6144" t="str">
        <f>"4574674200824522"</f>
        <v>4574674200824522</v>
      </c>
      <c r="F6144" t="str">
        <f>"401"</f>
        <v>401</v>
      </c>
      <c r="G6144">
        <v>1</v>
      </c>
      <c r="H6144">
        <v>2023</v>
      </c>
      <c r="I6144" t="s">
        <v>6259</v>
      </c>
    </row>
    <row r="6145" spans="1:9" x14ac:dyDescent="0.3">
      <c r="A6145" t="s">
        <v>10166</v>
      </c>
      <c r="B6145" t="s">
        <v>60</v>
      </c>
      <c r="C6145">
        <v>8989697390</v>
      </c>
      <c r="D6145" s="2">
        <v>1</v>
      </c>
      <c r="E6145" t="str">
        <f>"4574674200824506"</f>
        <v>4574674200824506</v>
      </c>
      <c r="F6145" t="str">
        <f>"815"</f>
        <v>815</v>
      </c>
      <c r="G6145">
        <v>1</v>
      </c>
      <c r="H6145">
        <v>2023</v>
      </c>
      <c r="I6145" t="s">
        <v>6260</v>
      </c>
    </row>
    <row r="6146" spans="1:9" x14ac:dyDescent="0.3">
      <c r="A6146" t="s">
        <v>10166</v>
      </c>
      <c r="B6146" t="s">
        <v>60</v>
      </c>
      <c r="C6146">
        <v>8989697390</v>
      </c>
      <c r="D6146" s="2">
        <v>1</v>
      </c>
      <c r="E6146" t="str">
        <f>"4574674200824548"</f>
        <v>4574674200824548</v>
      </c>
      <c r="F6146" t="str">
        <f>"661"</f>
        <v>661</v>
      </c>
      <c r="G6146">
        <v>1</v>
      </c>
      <c r="H6146">
        <v>2023</v>
      </c>
      <c r="I6146" t="s">
        <v>6261</v>
      </c>
    </row>
    <row r="6147" spans="1:9" x14ac:dyDescent="0.3">
      <c r="A6147" t="s">
        <v>10166</v>
      </c>
      <c r="B6147" t="s">
        <v>60</v>
      </c>
      <c r="C6147">
        <v>8989697390</v>
      </c>
      <c r="D6147" s="2">
        <v>1</v>
      </c>
      <c r="E6147" t="str">
        <f>"4574674200824597"</f>
        <v>4574674200824597</v>
      </c>
      <c r="F6147" t="str">
        <f>"299"</f>
        <v>299</v>
      </c>
      <c r="G6147">
        <v>1</v>
      </c>
      <c r="H6147">
        <v>2023</v>
      </c>
      <c r="I6147" t="s">
        <v>6262</v>
      </c>
    </row>
    <row r="6148" spans="1:9" x14ac:dyDescent="0.3">
      <c r="A6148" t="s">
        <v>10146</v>
      </c>
      <c r="B6148" t="s">
        <v>61</v>
      </c>
      <c r="C6148">
        <v>8989697390</v>
      </c>
      <c r="D6148" s="2">
        <v>1</v>
      </c>
      <c r="E6148" t="str">
        <f>"4574674200824852"</f>
        <v>4574674200824852</v>
      </c>
      <c r="F6148" t="str">
        <f>"607"</f>
        <v>607</v>
      </c>
      <c r="G6148">
        <v>1</v>
      </c>
      <c r="H6148">
        <v>2023</v>
      </c>
      <c r="I6148" t="s">
        <v>6263</v>
      </c>
    </row>
    <row r="6149" spans="1:9" x14ac:dyDescent="0.3">
      <c r="A6149" t="s">
        <v>10146</v>
      </c>
      <c r="B6149" t="s">
        <v>61</v>
      </c>
      <c r="C6149">
        <v>8989697390</v>
      </c>
      <c r="D6149" s="2">
        <v>1</v>
      </c>
      <c r="E6149" t="str">
        <f>"4574674200824738"</f>
        <v>4574674200824738</v>
      </c>
      <c r="F6149" t="str">
        <f>"815"</f>
        <v>815</v>
      </c>
      <c r="G6149">
        <v>1</v>
      </c>
      <c r="H6149">
        <v>2023</v>
      </c>
      <c r="I6149" t="s">
        <v>6264</v>
      </c>
    </row>
    <row r="6150" spans="1:9" x14ac:dyDescent="0.3">
      <c r="A6150" t="s">
        <v>10146</v>
      </c>
      <c r="B6150" t="s">
        <v>61</v>
      </c>
      <c r="C6150">
        <v>8989697390</v>
      </c>
      <c r="D6150" s="2">
        <v>1</v>
      </c>
      <c r="E6150" t="str">
        <f>"4574674200824910"</f>
        <v>4574674200824910</v>
      </c>
      <c r="F6150" t="str">
        <f>"893"</f>
        <v>893</v>
      </c>
      <c r="G6150">
        <v>1</v>
      </c>
      <c r="H6150">
        <v>2023</v>
      </c>
      <c r="I6150" t="s">
        <v>6265</v>
      </c>
    </row>
    <row r="6151" spans="1:9" x14ac:dyDescent="0.3">
      <c r="A6151" t="s">
        <v>10146</v>
      </c>
      <c r="B6151" t="s">
        <v>61</v>
      </c>
      <c r="C6151">
        <v>8989697390</v>
      </c>
      <c r="D6151" s="2">
        <v>1</v>
      </c>
      <c r="E6151" t="str">
        <f>"4574674200824886"</f>
        <v>4574674200824886</v>
      </c>
      <c r="F6151" t="str">
        <f>"908"</f>
        <v>908</v>
      </c>
      <c r="G6151">
        <v>1</v>
      </c>
      <c r="H6151">
        <v>2023</v>
      </c>
      <c r="I6151" t="s">
        <v>6266</v>
      </c>
    </row>
    <row r="6152" spans="1:9" x14ac:dyDescent="0.3">
      <c r="A6152" t="s">
        <v>10146</v>
      </c>
      <c r="B6152" t="s">
        <v>61</v>
      </c>
      <c r="C6152">
        <v>8989697390</v>
      </c>
      <c r="D6152" s="2">
        <v>1</v>
      </c>
      <c r="E6152" t="str">
        <f>"4574674200825008"</f>
        <v>4574674200825008</v>
      </c>
      <c r="F6152" t="str">
        <f>"554"</f>
        <v>554</v>
      </c>
      <c r="G6152">
        <v>1</v>
      </c>
      <c r="H6152">
        <v>2023</v>
      </c>
      <c r="I6152" t="s">
        <v>6267</v>
      </c>
    </row>
    <row r="6153" spans="1:9" x14ac:dyDescent="0.3">
      <c r="A6153" t="s">
        <v>10146</v>
      </c>
      <c r="B6153" t="s">
        <v>61</v>
      </c>
      <c r="C6153">
        <v>8989697390</v>
      </c>
      <c r="D6153" s="2">
        <v>1</v>
      </c>
      <c r="E6153" t="str">
        <f>"4574674200825016"</f>
        <v>4574674200825016</v>
      </c>
      <c r="F6153" t="str">
        <f>"816"</f>
        <v>816</v>
      </c>
      <c r="G6153">
        <v>1</v>
      </c>
      <c r="H6153">
        <v>2023</v>
      </c>
      <c r="I6153" t="s">
        <v>6268</v>
      </c>
    </row>
    <row r="6154" spans="1:9" x14ac:dyDescent="0.3">
      <c r="A6154" t="s">
        <v>10146</v>
      </c>
      <c r="B6154" t="s">
        <v>61</v>
      </c>
      <c r="C6154">
        <v>8989697390</v>
      </c>
      <c r="D6154" s="2">
        <v>1</v>
      </c>
      <c r="E6154" t="str">
        <f>"4574674200824951"</f>
        <v>4574674200824951</v>
      </c>
      <c r="F6154" t="str">
        <f>"238"</f>
        <v>238</v>
      </c>
      <c r="G6154">
        <v>1</v>
      </c>
      <c r="H6154">
        <v>2023</v>
      </c>
      <c r="I6154" t="s">
        <v>6269</v>
      </c>
    </row>
    <row r="6155" spans="1:9" x14ac:dyDescent="0.3">
      <c r="A6155" t="s">
        <v>10146</v>
      </c>
      <c r="B6155" t="s">
        <v>61</v>
      </c>
      <c r="C6155">
        <v>8989697390</v>
      </c>
      <c r="D6155" s="2">
        <v>1</v>
      </c>
      <c r="E6155" t="str">
        <f>"4574674200824977"</f>
        <v>4574674200824977</v>
      </c>
      <c r="F6155" t="str">
        <f>"268"</f>
        <v>268</v>
      </c>
      <c r="G6155">
        <v>1</v>
      </c>
      <c r="H6155">
        <v>2023</v>
      </c>
      <c r="I6155" t="s">
        <v>6270</v>
      </c>
    </row>
    <row r="6156" spans="1:9" x14ac:dyDescent="0.3">
      <c r="A6156" t="s">
        <v>10146</v>
      </c>
      <c r="B6156" t="s">
        <v>61</v>
      </c>
      <c r="C6156">
        <v>8989697390</v>
      </c>
      <c r="D6156" s="2">
        <v>1</v>
      </c>
      <c r="E6156" t="str">
        <f>"4574674200824985"</f>
        <v>4574674200824985</v>
      </c>
      <c r="F6156" t="str">
        <f>"260"</f>
        <v>260</v>
      </c>
      <c r="G6156">
        <v>1</v>
      </c>
      <c r="H6156">
        <v>2023</v>
      </c>
      <c r="I6156" t="s">
        <v>6271</v>
      </c>
    </row>
    <row r="6157" spans="1:9" x14ac:dyDescent="0.3">
      <c r="A6157" t="s">
        <v>10146</v>
      </c>
      <c r="B6157" t="s">
        <v>61</v>
      </c>
      <c r="C6157">
        <v>8989697390</v>
      </c>
      <c r="D6157" s="2">
        <v>1</v>
      </c>
      <c r="E6157" t="str">
        <f>"4574674200825214"</f>
        <v>4574674200825214</v>
      </c>
      <c r="F6157" t="str">
        <f>"655"</f>
        <v>655</v>
      </c>
      <c r="G6157">
        <v>1</v>
      </c>
      <c r="H6157">
        <v>2023</v>
      </c>
      <c r="I6157" t="s">
        <v>6272</v>
      </c>
    </row>
    <row r="6158" spans="1:9" x14ac:dyDescent="0.3">
      <c r="A6158" t="s">
        <v>10147</v>
      </c>
      <c r="B6158" t="s">
        <v>62</v>
      </c>
      <c r="C6158">
        <v>8989697390</v>
      </c>
      <c r="D6158" s="2">
        <v>1</v>
      </c>
      <c r="E6158" t="str">
        <f>"4574674200825206"</f>
        <v>4574674200825206</v>
      </c>
      <c r="F6158" t="str">
        <f>"162"</f>
        <v>162</v>
      </c>
      <c r="G6158">
        <v>1</v>
      </c>
      <c r="H6158">
        <v>2023</v>
      </c>
      <c r="I6158" t="s">
        <v>6273</v>
      </c>
    </row>
    <row r="6159" spans="1:9" x14ac:dyDescent="0.3">
      <c r="A6159" t="s">
        <v>10147</v>
      </c>
      <c r="B6159" t="s">
        <v>62</v>
      </c>
      <c r="C6159">
        <v>8989697390</v>
      </c>
      <c r="D6159" s="2">
        <v>1</v>
      </c>
      <c r="E6159" t="str">
        <f>"4574674200825172"</f>
        <v>4574674200825172</v>
      </c>
      <c r="F6159" t="str">
        <f>"231"</f>
        <v>231</v>
      </c>
      <c r="G6159">
        <v>1</v>
      </c>
      <c r="H6159">
        <v>2023</v>
      </c>
      <c r="I6159" t="s">
        <v>6274</v>
      </c>
    </row>
    <row r="6160" spans="1:9" x14ac:dyDescent="0.3">
      <c r="A6160" t="s">
        <v>10147</v>
      </c>
      <c r="B6160" t="s">
        <v>62</v>
      </c>
      <c r="C6160">
        <v>8989697390</v>
      </c>
      <c r="D6160" s="2">
        <v>1</v>
      </c>
      <c r="E6160" t="str">
        <f>"4574674200825164"</f>
        <v>4574674200825164</v>
      </c>
      <c r="F6160" t="str">
        <f>"792"</f>
        <v>792</v>
      </c>
      <c r="G6160">
        <v>1</v>
      </c>
      <c r="H6160">
        <v>2023</v>
      </c>
      <c r="I6160" t="s">
        <v>6275</v>
      </c>
    </row>
    <row r="6161" spans="1:9" x14ac:dyDescent="0.3">
      <c r="A6161" t="s">
        <v>10147</v>
      </c>
      <c r="B6161" t="s">
        <v>62</v>
      </c>
      <c r="C6161">
        <v>8989697390</v>
      </c>
      <c r="D6161" s="2">
        <v>1</v>
      </c>
      <c r="E6161" t="str">
        <f>"4574674200825289"</f>
        <v>4574674200825289</v>
      </c>
      <c r="F6161" t="str">
        <f>"700"</f>
        <v>700</v>
      </c>
      <c r="G6161">
        <v>1</v>
      </c>
      <c r="H6161">
        <v>2023</v>
      </c>
      <c r="I6161" t="s">
        <v>6276</v>
      </c>
    </row>
    <row r="6162" spans="1:9" x14ac:dyDescent="0.3">
      <c r="A6162" t="s">
        <v>10147</v>
      </c>
      <c r="B6162" t="s">
        <v>62</v>
      </c>
      <c r="C6162">
        <v>8989697390</v>
      </c>
      <c r="D6162" s="2">
        <v>1</v>
      </c>
      <c r="E6162" t="str">
        <f>"4574674200825297"</f>
        <v>4574674200825297</v>
      </c>
      <c r="F6162" t="str">
        <f>"832"</f>
        <v>832</v>
      </c>
      <c r="G6162">
        <v>1</v>
      </c>
      <c r="H6162">
        <v>2023</v>
      </c>
      <c r="I6162" t="s">
        <v>6277</v>
      </c>
    </row>
    <row r="6163" spans="1:9" x14ac:dyDescent="0.3">
      <c r="A6163" t="s">
        <v>10147</v>
      </c>
      <c r="B6163" t="s">
        <v>62</v>
      </c>
      <c r="C6163">
        <v>8989697390</v>
      </c>
      <c r="D6163" s="2">
        <v>1</v>
      </c>
      <c r="E6163" t="str">
        <f>"4574674200825305"</f>
        <v>4574674200825305</v>
      </c>
      <c r="F6163" t="str">
        <f>"540"</f>
        <v>540</v>
      </c>
      <c r="G6163">
        <v>1</v>
      </c>
      <c r="H6163">
        <v>2023</v>
      </c>
      <c r="I6163" t="s">
        <v>6278</v>
      </c>
    </row>
    <row r="6164" spans="1:9" x14ac:dyDescent="0.3">
      <c r="A6164" t="s">
        <v>10147</v>
      </c>
      <c r="B6164" t="s">
        <v>62</v>
      </c>
      <c r="C6164">
        <v>8989697390</v>
      </c>
      <c r="D6164" s="2">
        <v>1</v>
      </c>
      <c r="E6164" t="str">
        <f>"4574674200825313"</f>
        <v>4574674200825313</v>
      </c>
      <c r="F6164" t="str">
        <f>"691"</f>
        <v>691</v>
      </c>
      <c r="G6164">
        <v>1</v>
      </c>
      <c r="H6164">
        <v>2023</v>
      </c>
      <c r="I6164" t="s">
        <v>6279</v>
      </c>
    </row>
    <row r="6165" spans="1:9" x14ac:dyDescent="0.3">
      <c r="A6165" t="s">
        <v>10147</v>
      </c>
      <c r="B6165" t="s">
        <v>62</v>
      </c>
      <c r="C6165">
        <v>8989697390</v>
      </c>
      <c r="D6165" s="2">
        <v>1</v>
      </c>
      <c r="E6165" t="str">
        <f>"4574674200825420"</f>
        <v>4574674200825420</v>
      </c>
      <c r="F6165" t="str">
        <f>"740"</f>
        <v>740</v>
      </c>
      <c r="G6165">
        <v>1</v>
      </c>
      <c r="H6165">
        <v>2023</v>
      </c>
      <c r="I6165" t="s">
        <v>6280</v>
      </c>
    </row>
    <row r="6166" spans="1:9" x14ac:dyDescent="0.3">
      <c r="A6166" t="s">
        <v>10147</v>
      </c>
      <c r="B6166" t="s">
        <v>62</v>
      </c>
      <c r="C6166">
        <v>8989697390</v>
      </c>
      <c r="D6166" s="2">
        <v>1</v>
      </c>
      <c r="E6166" t="str">
        <f>"4574674200825396"</f>
        <v>4574674200825396</v>
      </c>
      <c r="F6166" t="str">
        <f>"952"</f>
        <v>952</v>
      </c>
      <c r="G6166">
        <v>1</v>
      </c>
      <c r="H6166">
        <v>2023</v>
      </c>
      <c r="I6166" t="s">
        <v>6281</v>
      </c>
    </row>
    <row r="6167" spans="1:9" x14ac:dyDescent="0.3">
      <c r="A6167" t="s">
        <v>10147</v>
      </c>
      <c r="B6167" t="s">
        <v>62</v>
      </c>
      <c r="C6167">
        <v>8989697390</v>
      </c>
      <c r="D6167" s="2">
        <v>1</v>
      </c>
      <c r="E6167" t="str">
        <f>"4574674200825412"</f>
        <v>4574674200825412</v>
      </c>
      <c r="F6167" t="str">
        <f>"315"</f>
        <v>315</v>
      </c>
      <c r="G6167">
        <v>1</v>
      </c>
      <c r="H6167">
        <v>2023</v>
      </c>
      <c r="I6167" t="s">
        <v>6282</v>
      </c>
    </row>
    <row r="6168" spans="1:9" x14ac:dyDescent="0.3">
      <c r="A6168" t="s">
        <v>10167</v>
      </c>
      <c r="B6168" t="s">
        <v>63</v>
      </c>
      <c r="C6168">
        <v>8989697390</v>
      </c>
      <c r="D6168" s="2">
        <v>1</v>
      </c>
      <c r="E6168" t="str">
        <f>"4574674200825388"</f>
        <v>4574674200825388</v>
      </c>
      <c r="F6168" t="str">
        <f>"239"</f>
        <v>239</v>
      </c>
      <c r="G6168">
        <v>1</v>
      </c>
      <c r="H6168">
        <v>2023</v>
      </c>
      <c r="I6168" t="s">
        <v>6283</v>
      </c>
    </row>
    <row r="6169" spans="1:9" x14ac:dyDescent="0.3">
      <c r="A6169" t="s">
        <v>10167</v>
      </c>
      <c r="B6169" t="s">
        <v>63</v>
      </c>
      <c r="C6169">
        <v>8989697390</v>
      </c>
      <c r="D6169" s="2">
        <v>1</v>
      </c>
      <c r="E6169" t="str">
        <f>"4574674200825438"</f>
        <v>4574674200825438</v>
      </c>
      <c r="F6169" t="str">
        <f>"900"</f>
        <v>900</v>
      </c>
      <c r="G6169">
        <v>1</v>
      </c>
      <c r="H6169">
        <v>2023</v>
      </c>
      <c r="I6169" t="s">
        <v>6284</v>
      </c>
    </row>
    <row r="6170" spans="1:9" x14ac:dyDescent="0.3">
      <c r="A6170" t="s">
        <v>10167</v>
      </c>
      <c r="B6170" t="s">
        <v>63</v>
      </c>
      <c r="C6170">
        <v>8989697390</v>
      </c>
      <c r="D6170" s="2">
        <v>1</v>
      </c>
      <c r="E6170" t="str">
        <f>"4574674200825628"</f>
        <v>4574674200825628</v>
      </c>
      <c r="F6170" t="str">
        <f>"397"</f>
        <v>397</v>
      </c>
      <c r="G6170">
        <v>1</v>
      </c>
      <c r="H6170">
        <v>2023</v>
      </c>
      <c r="I6170" t="s">
        <v>6285</v>
      </c>
    </row>
    <row r="6171" spans="1:9" x14ac:dyDescent="0.3">
      <c r="A6171" t="s">
        <v>10167</v>
      </c>
      <c r="B6171" t="s">
        <v>63</v>
      </c>
      <c r="C6171">
        <v>8989697390</v>
      </c>
      <c r="D6171" s="2">
        <v>1</v>
      </c>
      <c r="E6171" t="str">
        <f>"4574674200825636"</f>
        <v>4574674200825636</v>
      </c>
      <c r="F6171" t="str">
        <f>"910"</f>
        <v>910</v>
      </c>
      <c r="G6171">
        <v>1</v>
      </c>
      <c r="H6171">
        <v>2023</v>
      </c>
      <c r="I6171" t="s">
        <v>6286</v>
      </c>
    </row>
    <row r="6172" spans="1:9" x14ac:dyDescent="0.3">
      <c r="A6172" t="s">
        <v>10167</v>
      </c>
      <c r="B6172" t="s">
        <v>63</v>
      </c>
      <c r="C6172">
        <v>8989697390</v>
      </c>
      <c r="D6172" s="2">
        <v>1</v>
      </c>
      <c r="E6172" t="str">
        <f>"4574674200825503"</f>
        <v>4574674200825503</v>
      </c>
      <c r="F6172" t="str">
        <f>"908"</f>
        <v>908</v>
      </c>
      <c r="G6172">
        <v>1</v>
      </c>
      <c r="H6172">
        <v>2023</v>
      </c>
      <c r="I6172" t="s">
        <v>6287</v>
      </c>
    </row>
    <row r="6173" spans="1:9" x14ac:dyDescent="0.3">
      <c r="A6173" t="s">
        <v>10167</v>
      </c>
      <c r="B6173" t="s">
        <v>63</v>
      </c>
      <c r="C6173">
        <v>8989697390</v>
      </c>
      <c r="D6173" s="2">
        <v>1</v>
      </c>
      <c r="E6173" t="str">
        <f>"4574674200825537"</f>
        <v>4574674200825537</v>
      </c>
      <c r="F6173" t="str">
        <f>"113"</f>
        <v>113</v>
      </c>
      <c r="G6173">
        <v>1</v>
      </c>
      <c r="H6173">
        <v>2023</v>
      </c>
      <c r="I6173" t="s">
        <v>6288</v>
      </c>
    </row>
    <row r="6174" spans="1:9" x14ac:dyDescent="0.3">
      <c r="A6174" t="s">
        <v>10167</v>
      </c>
      <c r="B6174" t="s">
        <v>63</v>
      </c>
      <c r="C6174">
        <v>8989697390</v>
      </c>
      <c r="D6174" s="2">
        <v>1</v>
      </c>
      <c r="E6174" t="str">
        <f>"4574674200825776"</f>
        <v>4574674200825776</v>
      </c>
      <c r="F6174" t="str">
        <f>"451"</f>
        <v>451</v>
      </c>
      <c r="G6174">
        <v>1</v>
      </c>
      <c r="H6174">
        <v>2023</v>
      </c>
      <c r="I6174" t="s">
        <v>6289</v>
      </c>
    </row>
    <row r="6175" spans="1:9" x14ac:dyDescent="0.3">
      <c r="A6175" t="s">
        <v>10167</v>
      </c>
      <c r="B6175" t="s">
        <v>63</v>
      </c>
      <c r="C6175">
        <v>8989697390</v>
      </c>
      <c r="D6175" s="2">
        <v>1</v>
      </c>
      <c r="E6175" t="str">
        <f>"4574674200825784"</f>
        <v>4574674200825784</v>
      </c>
      <c r="F6175" t="str">
        <f>"561"</f>
        <v>561</v>
      </c>
      <c r="G6175">
        <v>1</v>
      </c>
      <c r="H6175">
        <v>2023</v>
      </c>
      <c r="I6175" t="s">
        <v>6290</v>
      </c>
    </row>
    <row r="6176" spans="1:9" x14ac:dyDescent="0.3">
      <c r="A6176" t="s">
        <v>10167</v>
      </c>
      <c r="B6176" t="s">
        <v>63</v>
      </c>
      <c r="C6176">
        <v>8989697390</v>
      </c>
      <c r="D6176" s="2">
        <v>1</v>
      </c>
      <c r="E6176" t="str">
        <f>"4574674200825586"</f>
        <v>4574674200825586</v>
      </c>
      <c r="F6176" t="str">
        <f>"586"</f>
        <v>586</v>
      </c>
      <c r="G6176">
        <v>1</v>
      </c>
      <c r="H6176">
        <v>2023</v>
      </c>
      <c r="I6176" t="s">
        <v>6291</v>
      </c>
    </row>
    <row r="6177" spans="1:9" x14ac:dyDescent="0.3">
      <c r="A6177" t="s">
        <v>10167</v>
      </c>
      <c r="B6177" t="s">
        <v>63</v>
      </c>
      <c r="C6177">
        <v>8989697390</v>
      </c>
      <c r="D6177" s="2">
        <v>1</v>
      </c>
      <c r="E6177" t="str">
        <f>"4574674200825958"</f>
        <v>4574674200825958</v>
      </c>
      <c r="F6177" t="str">
        <f>"672"</f>
        <v>672</v>
      </c>
      <c r="G6177">
        <v>1</v>
      </c>
      <c r="H6177">
        <v>2023</v>
      </c>
      <c r="I6177" t="s">
        <v>6292</v>
      </c>
    </row>
    <row r="6178" spans="1:9" x14ac:dyDescent="0.3">
      <c r="A6178" t="s">
        <v>10157</v>
      </c>
      <c r="B6178" t="s">
        <v>64</v>
      </c>
      <c r="C6178">
        <v>8989697390</v>
      </c>
      <c r="D6178" s="2">
        <v>1</v>
      </c>
      <c r="E6178" t="str">
        <f>"4574674200825966"</f>
        <v>4574674200825966</v>
      </c>
      <c r="F6178" t="str">
        <f>"879"</f>
        <v>879</v>
      </c>
      <c r="G6178">
        <v>1</v>
      </c>
      <c r="H6178">
        <v>2023</v>
      </c>
      <c r="I6178" t="s">
        <v>6293</v>
      </c>
    </row>
    <row r="6179" spans="1:9" x14ac:dyDescent="0.3">
      <c r="A6179" t="s">
        <v>10157</v>
      </c>
      <c r="B6179" t="s">
        <v>64</v>
      </c>
      <c r="C6179">
        <v>8989697390</v>
      </c>
      <c r="D6179" s="2">
        <v>1</v>
      </c>
      <c r="E6179" t="str">
        <f>"4574674200826055"</f>
        <v>4574674200826055</v>
      </c>
      <c r="F6179" t="str">
        <f>"759"</f>
        <v>759</v>
      </c>
      <c r="G6179">
        <v>1</v>
      </c>
      <c r="H6179">
        <v>2023</v>
      </c>
      <c r="I6179" t="s">
        <v>6294</v>
      </c>
    </row>
    <row r="6180" spans="1:9" x14ac:dyDescent="0.3">
      <c r="A6180" t="s">
        <v>10157</v>
      </c>
      <c r="B6180" t="s">
        <v>64</v>
      </c>
      <c r="C6180">
        <v>8989697390</v>
      </c>
      <c r="D6180" s="2">
        <v>1</v>
      </c>
      <c r="E6180" t="str">
        <f>"4574674200826071"</f>
        <v>4574674200826071</v>
      </c>
      <c r="F6180" t="str">
        <f>"471"</f>
        <v>471</v>
      </c>
      <c r="G6180">
        <v>1</v>
      </c>
      <c r="H6180">
        <v>2023</v>
      </c>
      <c r="I6180" t="s">
        <v>6295</v>
      </c>
    </row>
    <row r="6181" spans="1:9" x14ac:dyDescent="0.3">
      <c r="A6181" t="s">
        <v>10157</v>
      </c>
      <c r="B6181" t="s">
        <v>64</v>
      </c>
      <c r="C6181">
        <v>8989697390</v>
      </c>
      <c r="D6181" s="2">
        <v>1</v>
      </c>
      <c r="E6181" t="str">
        <f>"4574674200826089"</f>
        <v>4574674200826089</v>
      </c>
      <c r="F6181" t="str">
        <f>"469"</f>
        <v>469</v>
      </c>
      <c r="G6181">
        <v>1</v>
      </c>
      <c r="H6181">
        <v>2023</v>
      </c>
      <c r="I6181" t="s">
        <v>6296</v>
      </c>
    </row>
    <row r="6182" spans="1:9" x14ac:dyDescent="0.3">
      <c r="A6182" t="s">
        <v>10157</v>
      </c>
      <c r="B6182" t="s">
        <v>64</v>
      </c>
      <c r="C6182">
        <v>8989697390</v>
      </c>
      <c r="D6182" s="2">
        <v>1</v>
      </c>
      <c r="E6182" t="str">
        <f>"4574674200826154"</f>
        <v>4574674200826154</v>
      </c>
      <c r="F6182" t="str">
        <f>"548"</f>
        <v>548</v>
      </c>
      <c r="G6182">
        <v>1</v>
      </c>
      <c r="H6182">
        <v>2023</v>
      </c>
      <c r="I6182" t="s">
        <v>6297</v>
      </c>
    </row>
    <row r="6183" spans="1:9" x14ac:dyDescent="0.3">
      <c r="A6183" t="s">
        <v>10157</v>
      </c>
      <c r="B6183" t="s">
        <v>64</v>
      </c>
      <c r="C6183">
        <v>8989697390</v>
      </c>
      <c r="D6183" s="2">
        <v>1</v>
      </c>
      <c r="E6183" t="str">
        <f>"4574674200826188"</f>
        <v>4574674200826188</v>
      </c>
      <c r="F6183" t="str">
        <f>"321"</f>
        <v>321</v>
      </c>
      <c r="G6183">
        <v>1</v>
      </c>
      <c r="H6183">
        <v>2023</v>
      </c>
      <c r="I6183" t="s">
        <v>6298</v>
      </c>
    </row>
    <row r="6184" spans="1:9" x14ac:dyDescent="0.3">
      <c r="A6184" t="s">
        <v>10157</v>
      </c>
      <c r="B6184" t="s">
        <v>64</v>
      </c>
      <c r="C6184">
        <v>8989697390</v>
      </c>
      <c r="D6184" s="2">
        <v>1</v>
      </c>
      <c r="E6184" t="str">
        <f>"4574674200826402"</f>
        <v>4574674200826402</v>
      </c>
      <c r="F6184" t="str">
        <f>"581"</f>
        <v>581</v>
      </c>
      <c r="G6184">
        <v>1</v>
      </c>
      <c r="H6184">
        <v>2023</v>
      </c>
      <c r="I6184" t="s">
        <v>6299</v>
      </c>
    </row>
    <row r="6185" spans="1:9" x14ac:dyDescent="0.3">
      <c r="A6185" t="s">
        <v>10157</v>
      </c>
      <c r="B6185" t="s">
        <v>64</v>
      </c>
      <c r="C6185">
        <v>8989697390</v>
      </c>
      <c r="D6185" s="2">
        <v>1</v>
      </c>
      <c r="E6185" t="str">
        <f>"4574674200826246"</f>
        <v>4574674200826246</v>
      </c>
      <c r="F6185" t="str">
        <f>"511"</f>
        <v>511</v>
      </c>
      <c r="G6185">
        <v>1</v>
      </c>
      <c r="H6185">
        <v>2023</v>
      </c>
      <c r="I6185" t="s">
        <v>6300</v>
      </c>
    </row>
    <row r="6186" spans="1:9" x14ac:dyDescent="0.3">
      <c r="A6186" t="s">
        <v>10157</v>
      </c>
      <c r="B6186" t="s">
        <v>64</v>
      </c>
      <c r="C6186">
        <v>8989697390</v>
      </c>
      <c r="D6186" s="2">
        <v>1</v>
      </c>
      <c r="E6186" t="str">
        <f>"4574674200826436"</f>
        <v>4574674200826436</v>
      </c>
      <c r="F6186" t="str">
        <f>"927"</f>
        <v>927</v>
      </c>
      <c r="G6186">
        <v>1</v>
      </c>
      <c r="H6186">
        <v>2023</v>
      </c>
      <c r="I6186" t="s">
        <v>6301</v>
      </c>
    </row>
    <row r="6187" spans="1:9" x14ac:dyDescent="0.3">
      <c r="A6187" t="s">
        <v>10157</v>
      </c>
      <c r="B6187" t="s">
        <v>64</v>
      </c>
      <c r="C6187">
        <v>8989697390</v>
      </c>
      <c r="D6187" s="2">
        <v>1</v>
      </c>
      <c r="E6187" t="str">
        <f>"4574674200826279"</f>
        <v>4574674200826279</v>
      </c>
      <c r="F6187" t="str">
        <f>"135"</f>
        <v>135</v>
      </c>
      <c r="G6187">
        <v>1</v>
      </c>
      <c r="H6187">
        <v>2023</v>
      </c>
      <c r="I6187" t="s">
        <v>6302</v>
      </c>
    </row>
    <row r="6188" spans="1:9" x14ac:dyDescent="0.3">
      <c r="A6188" t="s">
        <v>10158</v>
      </c>
      <c r="B6188" t="s">
        <v>65</v>
      </c>
      <c r="C6188">
        <v>8989697390</v>
      </c>
      <c r="D6188" s="2">
        <v>1</v>
      </c>
      <c r="E6188" t="str">
        <f>"4574674200826485"</f>
        <v>4574674200826485</v>
      </c>
      <c r="F6188" t="str">
        <f>"719"</f>
        <v>719</v>
      </c>
      <c r="G6188">
        <v>1</v>
      </c>
      <c r="H6188">
        <v>2023</v>
      </c>
      <c r="I6188" t="s">
        <v>6303</v>
      </c>
    </row>
    <row r="6189" spans="1:9" x14ac:dyDescent="0.3">
      <c r="A6189" t="s">
        <v>10158</v>
      </c>
      <c r="B6189" t="s">
        <v>65</v>
      </c>
      <c r="C6189">
        <v>8989697390</v>
      </c>
      <c r="D6189" s="2">
        <v>1</v>
      </c>
      <c r="E6189" t="str">
        <f>"4574674200826527"</f>
        <v>4574674200826527</v>
      </c>
      <c r="F6189" t="str">
        <f>"296"</f>
        <v>296</v>
      </c>
      <c r="G6189">
        <v>1</v>
      </c>
      <c r="H6189">
        <v>2023</v>
      </c>
      <c r="I6189" t="s">
        <v>6304</v>
      </c>
    </row>
    <row r="6190" spans="1:9" x14ac:dyDescent="0.3">
      <c r="A6190" t="s">
        <v>10158</v>
      </c>
      <c r="B6190" t="s">
        <v>65</v>
      </c>
      <c r="C6190">
        <v>8989697390</v>
      </c>
      <c r="D6190" s="2">
        <v>1</v>
      </c>
      <c r="E6190" t="str">
        <f>"4574674200826352"</f>
        <v>4574674200826352</v>
      </c>
      <c r="F6190" t="str">
        <f>"623"</f>
        <v>623</v>
      </c>
      <c r="G6190">
        <v>1</v>
      </c>
      <c r="H6190">
        <v>2023</v>
      </c>
      <c r="I6190" t="s">
        <v>6305</v>
      </c>
    </row>
    <row r="6191" spans="1:9" x14ac:dyDescent="0.3">
      <c r="A6191" t="s">
        <v>10158</v>
      </c>
      <c r="B6191" t="s">
        <v>65</v>
      </c>
      <c r="C6191">
        <v>8989697390</v>
      </c>
      <c r="D6191" s="2">
        <v>1</v>
      </c>
      <c r="E6191" t="str">
        <f>"4574674200826550"</f>
        <v>4574674200826550</v>
      </c>
      <c r="F6191" t="str">
        <f>"652"</f>
        <v>652</v>
      </c>
      <c r="G6191">
        <v>1</v>
      </c>
      <c r="H6191">
        <v>2023</v>
      </c>
      <c r="I6191" t="s">
        <v>6306</v>
      </c>
    </row>
    <row r="6192" spans="1:9" x14ac:dyDescent="0.3">
      <c r="A6192" t="s">
        <v>10158</v>
      </c>
      <c r="B6192" t="s">
        <v>65</v>
      </c>
      <c r="C6192">
        <v>8989697390</v>
      </c>
      <c r="D6192" s="2">
        <v>1</v>
      </c>
      <c r="E6192" t="str">
        <f>"4574674200826543"</f>
        <v>4574674200826543</v>
      </c>
      <c r="F6192" t="str">
        <f>"716"</f>
        <v>716</v>
      </c>
      <c r="G6192">
        <v>1</v>
      </c>
      <c r="H6192">
        <v>2023</v>
      </c>
      <c r="I6192" t="s">
        <v>6307</v>
      </c>
    </row>
    <row r="6193" spans="1:9" x14ac:dyDescent="0.3">
      <c r="A6193" t="s">
        <v>10158</v>
      </c>
      <c r="B6193" t="s">
        <v>65</v>
      </c>
      <c r="C6193">
        <v>8989697390</v>
      </c>
      <c r="D6193" s="2">
        <v>1</v>
      </c>
      <c r="E6193" t="str">
        <f>"4574674200826378"</f>
        <v>4574674200826378</v>
      </c>
      <c r="F6193" t="str">
        <f>"540"</f>
        <v>540</v>
      </c>
      <c r="G6193">
        <v>1</v>
      </c>
      <c r="H6193">
        <v>2023</v>
      </c>
      <c r="I6193" t="s">
        <v>6308</v>
      </c>
    </row>
    <row r="6194" spans="1:9" x14ac:dyDescent="0.3">
      <c r="A6194" t="s">
        <v>10158</v>
      </c>
      <c r="B6194" t="s">
        <v>65</v>
      </c>
      <c r="C6194">
        <v>8989697390</v>
      </c>
      <c r="D6194" s="2">
        <v>1</v>
      </c>
      <c r="E6194" t="str">
        <f>"4574674200826626"</f>
        <v>4574674200826626</v>
      </c>
      <c r="F6194" t="str">
        <f>"484"</f>
        <v>484</v>
      </c>
      <c r="G6194">
        <v>1</v>
      </c>
      <c r="H6194">
        <v>2023</v>
      </c>
      <c r="I6194" t="s">
        <v>6309</v>
      </c>
    </row>
    <row r="6195" spans="1:9" x14ac:dyDescent="0.3">
      <c r="A6195" t="s">
        <v>10158</v>
      </c>
      <c r="B6195" t="s">
        <v>65</v>
      </c>
      <c r="C6195">
        <v>8989697390</v>
      </c>
      <c r="D6195" s="2">
        <v>1</v>
      </c>
      <c r="E6195" t="str">
        <f>"4574674200826717"</f>
        <v>4574674200826717</v>
      </c>
      <c r="F6195" t="str">
        <f>"769"</f>
        <v>769</v>
      </c>
      <c r="G6195">
        <v>1</v>
      </c>
      <c r="H6195">
        <v>2023</v>
      </c>
      <c r="I6195" t="s">
        <v>6310</v>
      </c>
    </row>
    <row r="6196" spans="1:9" x14ac:dyDescent="0.3">
      <c r="A6196" t="s">
        <v>10158</v>
      </c>
      <c r="B6196" t="s">
        <v>65</v>
      </c>
      <c r="C6196">
        <v>8989697390</v>
      </c>
      <c r="D6196" s="2">
        <v>1</v>
      </c>
      <c r="E6196" t="str">
        <f>"4574674200826808"</f>
        <v>4574674200826808</v>
      </c>
      <c r="F6196" t="str">
        <f>"199"</f>
        <v>199</v>
      </c>
      <c r="G6196">
        <v>1</v>
      </c>
      <c r="H6196">
        <v>2023</v>
      </c>
      <c r="I6196" t="s">
        <v>6311</v>
      </c>
    </row>
    <row r="6197" spans="1:9" x14ac:dyDescent="0.3">
      <c r="A6197" t="s">
        <v>10158</v>
      </c>
      <c r="B6197" t="s">
        <v>65</v>
      </c>
      <c r="C6197">
        <v>8989697390</v>
      </c>
      <c r="D6197" s="2">
        <v>1</v>
      </c>
      <c r="E6197" t="str">
        <f>"4574674200826725"</f>
        <v>4574674200826725</v>
      </c>
      <c r="F6197" t="str">
        <f>"828"</f>
        <v>828</v>
      </c>
      <c r="G6197">
        <v>1</v>
      </c>
      <c r="H6197">
        <v>2023</v>
      </c>
      <c r="I6197" t="s">
        <v>6312</v>
      </c>
    </row>
    <row r="6198" spans="1:9" x14ac:dyDescent="0.3">
      <c r="A6198" t="s">
        <v>10159</v>
      </c>
      <c r="B6198" t="s">
        <v>66</v>
      </c>
      <c r="C6198">
        <v>8989697390</v>
      </c>
      <c r="D6198" s="2">
        <v>1</v>
      </c>
      <c r="E6198" t="str">
        <f>"4574674200826733"</f>
        <v>4574674200826733</v>
      </c>
      <c r="F6198" t="str">
        <f>"200"</f>
        <v>200</v>
      </c>
      <c r="G6198">
        <v>1</v>
      </c>
      <c r="H6198">
        <v>2023</v>
      </c>
      <c r="I6198" t="s">
        <v>6313</v>
      </c>
    </row>
    <row r="6199" spans="1:9" x14ac:dyDescent="0.3">
      <c r="A6199" t="s">
        <v>10159</v>
      </c>
      <c r="B6199" t="s">
        <v>66</v>
      </c>
      <c r="C6199">
        <v>8989697390</v>
      </c>
      <c r="D6199" s="2">
        <v>1</v>
      </c>
      <c r="E6199" t="str">
        <f>"4574674200826840"</f>
        <v>4574674200826840</v>
      </c>
      <c r="F6199" t="str">
        <f>"030"</f>
        <v>030</v>
      </c>
      <c r="G6199">
        <v>1</v>
      </c>
      <c r="H6199">
        <v>2023</v>
      </c>
      <c r="I6199" t="s">
        <v>6314</v>
      </c>
    </row>
    <row r="6200" spans="1:9" x14ac:dyDescent="0.3">
      <c r="A6200" t="s">
        <v>10159</v>
      </c>
      <c r="B6200" t="s">
        <v>66</v>
      </c>
      <c r="C6200">
        <v>8989697390</v>
      </c>
      <c r="D6200" s="2">
        <v>1</v>
      </c>
      <c r="E6200" t="str">
        <f>"4574674200826857"</f>
        <v>4574674200826857</v>
      </c>
      <c r="F6200" t="str">
        <f>"764"</f>
        <v>764</v>
      </c>
      <c r="G6200">
        <v>1</v>
      </c>
      <c r="H6200">
        <v>2023</v>
      </c>
      <c r="I6200" t="s">
        <v>6315</v>
      </c>
    </row>
    <row r="6201" spans="1:9" x14ac:dyDescent="0.3">
      <c r="A6201" t="s">
        <v>10159</v>
      </c>
      <c r="B6201" t="s">
        <v>66</v>
      </c>
      <c r="C6201">
        <v>8989697390</v>
      </c>
      <c r="D6201" s="2">
        <v>1</v>
      </c>
      <c r="E6201" t="str">
        <f>"4574674200826873"</f>
        <v>4574674200826873</v>
      </c>
      <c r="F6201" t="str">
        <f>"452"</f>
        <v>452</v>
      </c>
      <c r="G6201">
        <v>1</v>
      </c>
      <c r="H6201">
        <v>2023</v>
      </c>
      <c r="I6201" t="s">
        <v>6316</v>
      </c>
    </row>
    <row r="6202" spans="1:9" x14ac:dyDescent="0.3">
      <c r="A6202" t="s">
        <v>10159</v>
      </c>
      <c r="B6202" t="s">
        <v>66</v>
      </c>
      <c r="C6202">
        <v>8989697390</v>
      </c>
      <c r="D6202" s="2">
        <v>1</v>
      </c>
      <c r="E6202" t="str">
        <f>"4574674200827079"</f>
        <v>4574674200827079</v>
      </c>
      <c r="F6202" t="str">
        <f>"474"</f>
        <v>474</v>
      </c>
      <c r="G6202">
        <v>1</v>
      </c>
      <c r="H6202">
        <v>2023</v>
      </c>
      <c r="I6202" t="s">
        <v>6317</v>
      </c>
    </row>
    <row r="6203" spans="1:9" x14ac:dyDescent="0.3">
      <c r="A6203" t="s">
        <v>10159</v>
      </c>
      <c r="B6203" t="s">
        <v>66</v>
      </c>
      <c r="C6203">
        <v>8989697390</v>
      </c>
      <c r="D6203" s="2">
        <v>1</v>
      </c>
      <c r="E6203" t="str">
        <f>"4574674200826923"</f>
        <v>4574674200826923</v>
      </c>
      <c r="F6203" t="str">
        <f>"183"</f>
        <v>183</v>
      </c>
      <c r="G6203">
        <v>1</v>
      </c>
      <c r="H6203">
        <v>2023</v>
      </c>
      <c r="I6203" t="s">
        <v>6318</v>
      </c>
    </row>
    <row r="6204" spans="1:9" x14ac:dyDescent="0.3">
      <c r="A6204" t="s">
        <v>10159</v>
      </c>
      <c r="B6204" t="s">
        <v>66</v>
      </c>
      <c r="C6204">
        <v>8989697390</v>
      </c>
      <c r="D6204" s="2">
        <v>1</v>
      </c>
      <c r="E6204" t="str">
        <f>"4574674200827087"</f>
        <v>4574674200827087</v>
      </c>
      <c r="F6204" t="str">
        <f>"584"</f>
        <v>584</v>
      </c>
      <c r="G6204">
        <v>1</v>
      </c>
      <c r="H6204">
        <v>2023</v>
      </c>
      <c r="I6204" t="s">
        <v>6319</v>
      </c>
    </row>
    <row r="6205" spans="1:9" x14ac:dyDescent="0.3">
      <c r="A6205" t="s">
        <v>10159</v>
      </c>
      <c r="B6205" t="s">
        <v>66</v>
      </c>
      <c r="C6205">
        <v>8989697390</v>
      </c>
      <c r="D6205" s="2">
        <v>1</v>
      </c>
      <c r="E6205" t="str">
        <f>"4574674200827129"</f>
        <v>4574674200827129</v>
      </c>
      <c r="F6205" t="str">
        <f>"303"</f>
        <v>303</v>
      </c>
      <c r="G6205">
        <v>1</v>
      </c>
      <c r="H6205">
        <v>2023</v>
      </c>
      <c r="I6205" t="s">
        <v>6320</v>
      </c>
    </row>
    <row r="6206" spans="1:9" x14ac:dyDescent="0.3">
      <c r="A6206" t="s">
        <v>10159</v>
      </c>
      <c r="B6206" t="s">
        <v>66</v>
      </c>
      <c r="C6206">
        <v>8989697390</v>
      </c>
      <c r="D6206" s="2">
        <v>1</v>
      </c>
      <c r="E6206" t="str">
        <f>"4574674200827228"</f>
        <v>4574674200827228</v>
      </c>
      <c r="F6206" t="str">
        <f>"621"</f>
        <v>621</v>
      </c>
      <c r="G6206">
        <v>1</v>
      </c>
      <c r="H6206">
        <v>2023</v>
      </c>
      <c r="I6206" t="s">
        <v>6321</v>
      </c>
    </row>
    <row r="6207" spans="1:9" x14ac:dyDescent="0.3">
      <c r="A6207" t="s">
        <v>10159</v>
      </c>
      <c r="B6207" t="s">
        <v>66</v>
      </c>
      <c r="C6207">
        <v>8989697390</v>
      </c>
      <c r="D6207" s="2">
        <v>1</v>
      </c>
      <c r="E6207" t="str">
        <f>"4574674200826980"</f>
        <v>4574674200826980</v>
      </c>
      <c r="F6207" t="str">
        <f>"056"</f>
        <v>056</v>
      </c>
      <c r="G6207">
        <v>1</v>
      </c>
      <c r="H6207">
        <v>2023</v>
      </c>
      <c r="I6207" t="s">
        <v>6322</v>
      </c>
    </row>
    <row r="6208" spans="1:9" x14ac:dyDescent="0.3">
      <c r="A6208" t="s">
        <v>10130</v>
      </c>
      <c r="B6208" t="s">
        <v>67</v>
      </c>
      <c r="C6208">
        <v>8989697390</v>
      </c>
      <c r="D6208" s="2">
        <v>1</v>
      </c>
      <c r="E6208" t="str">
        <f>"4574674200827434"</f>
        <v>4574674200827434</v>
      </c>
      <c r="F6208" t="str">
        <f>"935"</f>
        <v>935</v>
      </c>
      <c r="G6208">
        <v>1</v>
      </c>
      <c r="H6208">
        <v>2023</v>
      </c>
      <c r="I6208" t="s">
        <v>6323</v>
      </c>
    </row>
    <row r="6209" spans="1:9" x14ac:dyDescent="0.3">
      <c r="A6209" t="s">
        <v>10130</v>
      </c>
      <c r="B6209" t="s">
        <v>67</v>
      </c>
      <c r="C6209">
        <v>8989697390</v>
      </c>
      <c r="D6209" s="2">
        <v>1</v>
      </c>
      <c r="E6209" t="str">
        <f>"4574674200827509"</f>
        <v>4574674200827509</v>
      </c>
      <c r="F6209" t="str">
        <f>"912"</f>
        <v>912</v>
      </c>
      <c r="G6209">
        <v>1</v>
      </c>
      <c r="H6209">
        <v>2023</v>
      </c>
      <c r="I6209" t="s">
        <v>6324</v>
      </c>
    </row>
    <row r="6210" spans="1:9" x14ac:dyDescent="0.3">
      <c r="A6210" t="s">
        <v>10130</v>
      </c>
      <c r="B6210" t="s">
        <v>67</v>
      </c>
      <c r="C6210">
        <v>8989697390</v>
      </c>
      <c r="D6210" s="2">
        <v>1</v>
      </c>
      <c r="E6210" t="str">
        <f>"4574674200827558"</f>
        <v>4574674200827558</v>
      </c>
      <c r="F6210" t="str">
        <f>"845"</f>
        <v>845</v>
      </c>
      <c r="G6210">
        <v>1</v>
      </c>
      <c r="H6210">
        <v>2023</v>
      </c>
      <c r="I6210" t="s">
        <v>6325</v>
      </c>
    </row>
    <row r="6211" spans="1:9" x14ac:dyDescent="0.3">
      <c r="A6211" t="s">
        <v>10130</v>
      </c>
      <c r="B6211" t="s">
        <v>67</v>
      </c>
      <c r="C6211">
        <v>8989697390</v>
      </c>
      <c r="D6211" s="2">
        <v>1</v>
      </c>
      <c r="E6211" t="str">
        <f>"4574674200828390"</f>
        <v>4574674200828390</v>
      </c>
      <c r="F6211" t="str">
        <f>"564"</f>
        <v>564</v>
      </c>
      <c r="G6211">
        <v>1</v>
      </c>
      <c r="H6211">
        <v>2023</v>
      </c>
      <c r="I6211" t="s">
        <v>6326</v>
      </c>
    </row>
    <row r="6212" spans="1:9" x14ac:dyDescent="0.3">
      <c r="A6212" t="s">
        <v>10130</v>
      </c>
      <c r="B6212" t="s">
        <v>67</v>
      </c>
      <c r="C6212">
        <v>8989697390</v>
      </c>
      <c r="D6212" s="2">
        <v>1</v>
      </c>
      <c r="E6212" t="str">
        <f>"4574674200828705"</f>
        <v>4574674200828705</v>
      </c>
      <c r="F6212" t="str">
        <f>"671"</f>
        <v>671</v>
      </c>
      <c r="G6212">
        <v>1</v>
      </c>
      <c r="H6212">
        <v>2023</v>
      </c>
      <c r="I6212" t="s">
        <v>6327</v>
      </c>
    </row>
    <row r="6213" spans="1:9" x14ac:dyDescent="0.3">
      <c r="A6213" t="s">
        <v>10130</v>
      </c>
      <c r="B6213" t="s">
        <v>67</v>
      </c>
      <c r="C6213">
        <v>8989697390</v>
      </c>
      <c r="D6213" s="2">
        <v>1</v>
      </c>
      <c r="E6213" t="str">
        <f>"4574674200828721"</f>
        <v>4574674200828721</v>
      </c>
      <c r="F6213" t="str">
        <f>"400"</f>
        <v>400</v>
      </c>
      <c r="G6213">
        <v>1</v>
      </c>
      <c r="H6213">
        <v>2023</v>
      </c>
      <c r="I6213" t="s">
        <v>6328</v>
      </c>
    </row>
    <row r="6214" spans="1:9" x14ac:dyDescent="0.3">
      <c r="A6214" t="s">
        <v>10130</v>
      </c>
      <c r="B6214" t="s">
        <v>67</v>
      </c>
      <c r="C6214">
        <v>8989697390</v>
      </c>
      <c r="D6214" s="2">
        <v>1</v>
      </c>
      <c r="E6214" t="str">
        <f>"4574674200828788"</f>
        <v>4574674200828788</v>
      </c>
      <c r="F6214" t="str">
        <f>"357"</f>
        <v>357</v>
      </c>
      <c r="G6214">
        <v>1</v>
      </c>
      <c r="H6214">
        <v>2023</v>
      </c>
      <c r="I6214" t="s">
        <v>6329</v>
      </c>
    </row>
    <row r="6215" spans="1:9" x14ac:dyDescent="0.3">
      <c r="A6215" t="s">
        <v>10130</v>
      </c>
      <c r="B6215" t="s">
        <v>67</v>
      </c>
      <c r="C6215">
        <v>8989697390</v>
      </c>
      <c r="D6215" s="2">
        <v>1</v>
      </c>
      <c r="E6215" t="str">
        <f>"4574674200829059"</f>
        <v>4574674200829059</v>
      </c>
      <c r="F6215" t="str">
        <f>"837"</f>
        <v>837</v>
      </c>
      <c r="G6215">
        <v>1</v>
      </c>
      <c r="H6215">
        <v>2023</v>
      </c>
      <c r="I6215" t="s">
        <v>6330</v>
      </c>
    </row>
    <row r="6216" spans="1:9" x14ac:dyDescent="0.3">
      <c r="A6216" t="s">
        <v>10130</v>
      </c>
      <c r="B6216" t="s">
        <v>67</v>
      </c>
      <c r="C6216">
        <v>8989697390</v>
      </c>
      <c r="D6216" s="2">
        <v>1</v>
      </c>
      <c r="E6216" t="str">
        <f>"4574674200828887"</f>
        <v>4574674200828887</v>
      </c>
      <c r="F6216" t="str">
        <f>"660"</f>
        <v>660</v>
      </c>
      <c r="G6216">
        <v>1</v>
      </c>
      <c r="H6216">
        <v>2023</v>
      </c>
      <c r="I6216" t="s">
        <v>6331</v>
      </c>
    </row>
    <row r="6217" spans="1:9" x14ac:dyDescent="0.3">
      <c r="A6217" t="s">
        <v>10130</v>
      </c>
      <c r="B6217" t="s">
        <v>67</v>
      </c>
      <c r="C6217">
        <v>8989697390</v>
      </c>
      <c r="D6217" s="2">
        <v>1</v>
      </c>
      <c r="E6217" t="str">
        <f>"4574674200828895"</f>
        <v>4574674200828895</v>
      </c>
      <c r="F6217" t="str">
        <f>"036"</f>
        <v>036</v>
      </c>
      <c r="G6217">
        <v>1</v>
      </c>
      <c r="H6217">
        <v>2023</v>
      </c>
      <c r="I6217" t="s">
        <v>6332</v>
      </c>
    </row>
    <row r="6218" spans="1:9" x14ac:dyDescent="0.3">
      <c r="A6218" t="s">
        <v>10132</v>
      </c>
      <c r="B6218" t="s">
        <v>68</v>
      </c>
      <c r="C6218">
        <v>8989697390</v>
      </c>
      <c r="D6218" s="2">
        <v>1</v>
      </c>
      <c r="E6218" t="str">
        <f>"4574674200829091"</f>
        <v>4574674200829091</v>
      </c>
      <c r="F6218" t="str">
        <f>"844"</f>
        <v>844</v>
      </c>
      <c r="G6218">
        <v>1</v>
      </c>
      <c r="H6218">
        <v>2023</v>
      </c>
      <c r="I6218" t="s">
        <v>6333</v>
      </c>
    </row>
    <row r="6219" spans="1:9" x14ac:dyDescent="0.3">
      <c r="A6219" t="s">
        <v>10132</v>
      </c>
      <c r="B6219" t="s">
        <v>68</v>
      </c>
      <c r="C6219">
        <v>8989697390</v>
      </c>
      <c r="D6219" s="2">
        <v>1</v>
      </c>
      <c r="E6219" t="str">
        <f>"4574674200828911"</f>
        <v>4574674200828911</v>
      </c>
      <c r="F6219" t="str">
        <f>"777"</f>
        <v>777</v>
      </c>
      <c r="G6219">
        <v>1</v>
      </c>
      <c r="H6219">
        <v>2023</v>
      </c>
      <c r="I6219" t="s">
        <v>6334</v>
      </c>
    </row>
    <row r="6220" spans="1:9" x14ac:dyDescent="0.3">
      <c r="A6220" t="s">
        <v>10132</v>
      </c>
      <c r="B6220" t="s">
        <v>68</v>
      </c>
      <c r="C6220">
        <v>8989697390</v>
      </c>
      <c r="D6220" s="2">
        <v>1</v>
      </c>
      <c r="E6220" t="str">
        <f>"4574674200829109"</f>
        <v>4574674200829109</v>
      </c>
      <c r="F6220" t="str">
        <f>"086"</f>
        <v>086</v>
      </c>
      <c r="G6220">
        <v>1</v>
      </c>
      <c r="H6220">
        <v>2023</v>
      </c>
      <c r="I6220" t="s">
        <v>6335</v>
      </c>
    </row>
    <row r="6221" spans="1:9" x14ac:dyDescent="0.3">
      <c r="A6221" t="s">
        <v>10132</v>
      </c>
      <c r="B6221" t="s">
        <v>68</v>
      </c>
      <c r="C6221">
        <v>8989697390</v>
      </c>
      <c r="D6221" s="2">
        <v>1</v>
      </c>
      <c r="E6221" t="str">
        <f>"4574674200828929"</f>
        <v>4574674200828929</v>
      </c>
      <c r="F6221" t="str">
        <f>"168"</f>
        <v>168</v>
      </c>
      <c r="G6221">
        <v>1</v>
      </c>
      <c r="H6221">
        <v>2023</v>
      </c>
      <c r="I6221" t="s">
        <v>6336</v>
      </c>
    </row>
    <row r="6222" spans="1:9" x14ac:dyDescent="0.3">
      <c r="A6222" t="s">
        <v>10132</v>
      </c>
      <c r="B6222" t="s">
        <v>68</v>
      </c>
      <c r="C6222">
        <v>8989697390</v>
      </c>
      <c r="D6222" s="2">
        <v>1</v>
      </c>
      <c r="E6222" t="str">
        <f>"4574674200829182"</f>
        <v>4574674200829182</v>
      </c>
      <c r="F6222" t="str">
        <f>"553"</f>
        <v>553</v>
      </c>
      <c r="G6222">
        <v>1</v>
      </c>
      <c r="H6222">
        <v>2023</v>
      </c>
      <c r="I6222" t="s">
        <v>6337</v>
      </c>
    </row>
    <row r="6223" spans="1:9" x14ac:dyDescent="0.3">
      <c r="A6223" t="s">
        <v>10132</v>
      </c>
      <c r="B6223" t="s">
        <v>68</v>
      </c>
      <c r="C6223">
        <v>8989697390</v>
      </c>
      <c r="D6223" s="2">
        <v>1</v>
      </c>
      <c r="E6223" t="str">
        <f>"4574674200828994"</f>
        <v>4574674200828994</v>
      </c>
      <c r="F6223" t="str">
        <f>"974"</f>
        <v>974</v>
      </c>
      <c r="G6223">
        <v>1</v>
      </c>
      <c r="H6223">
        <v>2023</v>
      </c>
      <c r="I6223" t="s">
        <v>6338</v>
      </c>
    </row>
    <row r="6224" spans="1:9" x14ac:dyDescent="0.3">
      <c r="A6224" t="s">
        <v>10132</v>
      </c>
      <c r="B6224" t="s">
        <v>68</v>
      </c>
      <c r="C6224">
        <v>8989697390</v>
      </c>
      <c r="D6224" s="2">
        <v>1</v>
      </c>
      <c r="E6224" t="str">
        <f>"4574674200829257"</f>
        <v>4574674200829257</v>
      </c>
      <c r="F6224" t="str">
        <f>"779"</f>
        <v>779</v>
      </c>
      <c r="G6224">
        <v>1</v>
      </c>
      <c r="H6224">
        <v>2023</v>
      </c>
      <c r="I6224" t="s">
        <v>6339</v>
      </c>
    </row>
    <row r="6225" spans="1:9" x14ac:dyDescent="0.3">
      <c r="A6225" t="s">
        <v>10132</v>
      </c>
      <c r="B6225" t="s">
        <v>68</v>
      </c>
      <c r="C6225">
        <v>8989697390</v>
      </c>
      <c r="D6225" s="2">
        <v>1</v>
      </c>
      <c r="E6225" t="str">
        <f>"4574674200829299"</f>
        <v>4574674200829299</v>
      </c>
      <c r="F6225" t="str">
        <f>"106"</f>
        <v>106</v>
      </c>
      <c r="G6225">
        <v>1</v>
      </c>
      <c r="H6225">
        <v>2023</v>
      </c>
      <c r="I6225" t="s">
        <v>6340</v>
      </c>
    </row>
    <row r="6226" spans="1:9" x14ac:dyDescent="0.3">
      <c r="A6226" t="s">
        <v>10132</v>
      </c>
      <c r="B6226" t="s">
        <v>68</v>
      </c>
      <c r="C6226">
        <v>8989697390</v>
      </c>
      <c r="D6226" s="2">
        <v>1</v>
      </c>
      <c r="E6226" t="str">
        <f>"4574674200829414"</f>
        <v>4574674200829414</v>
      </c>
      <c r="F6226" t="str">
        <f>"901"</f>
        <v>901</v>
      </c>
      <c r="G6226">
        <v>1</v>
      </c>
      <c r="H6226">
        <v>2023</v>
      </c>
      <c r="I6226" t="s">
        <v>6341</v>
      </c>
    </row>
    <row r="6227" spans="1:9" x14ac:dyDescent="0.3">
      <c r="A6227" t="s">
        <v>10132</v>
      </c>
      <c r="B6227" t="s">
        <v>68</v>
      </c>
      <c r="C6227">
        <v>8989697390</v>
      </c>
      <c r="D6227" s="2">
        <v>1</v>
      </c>
      <c r="E6227" t="str">
        <f>"4574674200829323"</f>
        <v>4574674200829323</v>
      </c>
      <c r="F6227" t="str">
        <f>"945"</f>
        <v>945</v>
      </c>
      <c r="G6227">
        <v>1</v>
      </c>
      <c r="H6227">
        <v>2023</v>
      </c>
      <c r="I6227" t="s">
        <v>6342</v>
      </c>
    </row>
    <row r="6228" spans="1:9" x14ac:dyDescent="0.3">
      <c r="A6228" t="s">
        <v>10168</v>
      </c>
      <c r="B6228" t="s">
        <v>69</v>
      </c>
      <c r="C6228">
        <v>8989697390</v>
      </c>
      <c r="D6228" s="2">
        <v>1</v>
      </c>
      <c r="E6228" t="str">
        <f>"4574674200829422"</f>
        <v>4574674200829422</v>
      </c>
      <c r="F6228" t="str">
        <f>"791"</f>
        <v>791</v>
      </c>
      <c r="G6228">
        <v>1</v>
      </c>
      <c r="H6228">
        <v>2023</v>
      </c>
      <c r="I6228" t="s">
        <v>6343</v>
      </c>
    </row>
    <row r="6229" spans="1:9" x14ac:dyDescent="0.3">
      <c r="A6229" t="s">
        <v>10168</v>
      </c>
      <c r="B6229" t="s">
        <v>69</v>
      </c>
      <c r="C6229">
        <v>8989697390</v>
      </c>
      <c r="D6229" s="2">
        <v>1</v>
      </c>
      <c r="E6229" t="str">
        <f>"4574674200829380"</f>
        <v>4574674200829380</v>
      </c>
      <c r="F6229" t="str">
        <f>"497"</f>
        <v>497</v>
      </c>
      <c r="G6229">
        <v>1</v>
      </c>
      <c r="H6229">
        <v>2023</v>
      </c>
      <c r="I6229" t="s">
        <v>6344</v>
      </c>
    </row>
    <row r="6230" spans="1:9" x14ac:dyDescent="0.3">
      <c r="A6230" t="s">
        <v>10168</v>
      </c>
      <c r="B6230" t="s">
        <v>69</v>
      </c>
      <c r="C6230">
        <v>8989697390</v>
      </c>
      <c r="D6230" s="2">
        <v>1</v>
      </c>
      <c r="E6230" t="str">
        <f>"4574674200829430"</f>
        <v>4574674200829430</v>
      </c>
      <c r="F6230" t="str">
        <f>"342"</f>
        <v>342</v>
      </c>
      <c r="G6230">
        <v>1</v>
      </c>
      <c r="H6230">
        <v>2023</v>
      </c>
      <c r="I6230" t="s">
        <v>6345</v>
      </c>
    </row>
    <row r="6231" spans="1:9" x14ac:dyDescent="0.3">
      <c r="A6231" t="s">
        <v>10168</v>
      </c>
      <c r="B6231" t="s">
        <v>69</v>
      </c>
      <c r="C6231">
        <v>8989697390</v>
      </c>
      <c r="D6231" s="2">
        <v>1</v>
      </c>
      <c r="E6231" t="str">
        <f>"4574674200829653"</f>
        <v>4574674200829653</v>
      </c>
      <c r="F6231" t="str">
        <f>"136"</f>
        <v>136</v>
      </c>
      <c r="G6231">
        <v>1</v>
      </c>
      <c r="H6231">
        <v>2023</v>
      </c>
      <c r="I6231" t="s">
        <v>6346</v>
      </c>
    </row>
    <row r="6232" spans="1:9" x14ac:dyDescent="0.3">
      <c r="A6232" t="s">
        <v>10168</v>
      </c>
      <c r="B6232" t="s">
        <v>69</v>
      </c>
      <c r="C6232">
        <v>8989697390</v>
      </c>
      <c r="D6232" s="2">
        <v>1</v>
      </c>
      <c r="E6232" t="str">
        <f>"4574674200829695"</f>
        <v>4574674200829695</v>
      </c>
      <c r="F6232" t="str">
        <f>"672"</f>
        <v>672</v>
      </c>
      <c r="G6232">
        <v>1</v>
      </c>
      <c r="H6232">
        <v>2023</v>
      </c>
      <c r="I6232" t="s">
        <v>6347</v>
      </c>
    </row>
    <row r="6233" spans="1:9" x14ac:dyDescent="0.3">
      <c r="A6233" t="s">
        <v>10168</v>
      </c>
      <c r="B6233" t="s">
        <v>69</v>
      </c>
      <c r="C6233">
        <v>8989697390</v>
      </c>
      <c r="D6233" s="2">
        <v>1</v>
      </c>
      <c r="E6233" t="str">
        <f>"4574674200829471"</f>
        <v>4574674200829471</v>
      </c>
      <c r="F6233" t="str">
        <f>"135"</f>
        <v>135</v>
      </c>
      <c r="G6233">
        <v>1</v>
      </c>
      <c r="H6233">
        <v>2023</v>
      </c>
      <c r="I6233" t="s">
        <v>6348</v>
      </c>
    </row>
    <row r="6234" spans="1:9" x14ac:dyDescent="0.3">
      <c r="A6234" t="s">
        <v>10168</v>
      </c>
      <c r="B6234" t="s">
        <v>69</v>
      </c>
      <c r="C6234">
        <v>8989697390</v>
      </c>
      <c r="D6234" s="2">
        <v>1</v>
      </c>
      <c r="E6234" t="str">
        <f>"4574674200829729"</f>
        <v>4574674200829729</v>
      </c>
      <c r="F6234" t="str">
        <f>"386"</f>
        <v>386</v>
      </c>
      <c r="G6234">
        <v>1</v>
      </c>
      <c r="H6234">
        <v>2023</v>
      </c>
      <c r="I6234" t="s">
        <v>6349</v>
      </c>
    </row>
    <row r="6235" spans="1:9" x14ac:dyDescent="0.3">
      <c r="A6235" t="s">
        <v>10168</v>
      </c>
      <c r="B6235" t="s">
        <v>69</v>
      </c>
      <c r="C6235">
        <v>8989697390</v>
      </c>
      <c r="D6235" s="2">
        <v>1</v>
      </c>
      <c r="E6235" t="str">
        <f>"4574674200829539"</f>
        <v>4574674200829539</v>
      </c>
      <c r="F6235" t="str">
        <f>"542"</f>
        <v>542</v>
      </c>
      <c r="G6235">
        <v>1</v>
      </c>
      <c r="H6235">
        <v>2023</v>
      </c>
      <c r="I6235" t="s">
        <v>6350</v>
      </c>
    </row>
    <row r="6236" spans="1:9" x14ac:dyDescent="0.3">
      <c r="A6236" t="s">
        <v>10168</v>
      </c>
      <c r="B6236" t="s">
        <v>69</v>
      </c>
      <c r="C6236">
        <v>8989697390</v>
      </c>
      <c r="D6236" s="2">
        <v>1</v>
      </c>
      <c r="E6236" t="str">
        <f>"4574674200829786"</f>
        <v>4574674200829786</v>
      </c>
      <c r="F6236" t="str">
        <f>"945"</f>
        <v>945</v>
      </c>
      <c r="G6236">
        <v>1</v>
      </c>
      <c r="H6236">
        <v>2023</v>
      </c>
      <c r="I6236" t="s">
        <v>6351</v>
      </c>
    </row>
    <row r="6237" spans="1:9" x14ac:dyDescent="0.3">
      <c r="A6237" t="s">
        <v>10168</v>
      </c>
      <c r="B6237" t="s">
        <v>69</v>
      </c>
      <c r="C6237">
        <v>8989697390</v>
      </c>
      <c r="D6237" s="2">
        <v>1</v>
      </c>
      <c r="E6237" t="str">
        <f>"4574674200829547"</f>
        <v>4574674200829547</v>
      </c>
      <c r="F6237" t="str">
        <f>"622"</f>
        <v>622</v>
      </c>
      <c r="G6237">
        <v>1</v>
      </c>
      <c r="H6237">
        <v>2023</v>
      </c>
      <c r="I6237" t="s">
        <v>6352</v>
      </c>
    </row>
    <row r="6238" spans="1:9" x14ac:dyDescent="0.3">
      <c r="A6238" t="s">
        <v>10169</v>
      </c>
      <c r="B6238" t="s">
        <v>70</v>
      </c>
      <c r="C6238">
        <v>8989697390</v>
      </c>
      <c r="D6238" s="2">
        <v>1</v>
      </c>
      <c r="E6238" t="str">
        <f>"4574674200829562"</f>
        <v>4574674200829562</v>
      </c>
      <c r="F6238" t="str">
        <f>"720"</f>
        <v>720</v>
      </c>
      <c r="G6238">
        <v>1</v>
      </c>
      <c r="H6238">
        <v>2023</v>
      </c>
      <c r="I6238" t="s">
        <v>6353</v>
      </c>
    </row>
    <row r="6239" spans="1:9" x14ac:dyDescent="0.3">
      <c r="A6239" t="s">
        <v>10169</v>
      </c>
      <c r="B6239" t="s">
        <v>70</v>
      </c>
      <c r="C6239">
        <v>8989697390</v>
      </c>
      <c r="D6239" s="2">
        <v>1</v>
      </c>
      <c r="E6239" t="str">
        <f>"4574674200829596"</f>
        <v>4574674200829596</v>
      </c>
      <c r="F6239" t="str">
        <f>"038"</f>
        <v>038</v>
      </c>
      <c r="G6239">
        <v>1</v>
      </c>
      <c r="H6239">
        <v>2023</v>
      </c>
      <c r="I6239" t="s">
        <v>6354</v>
      </c>
    </row>
    <row r="6240" spans="1:9" x14ac:dyDescent="0.3">
      <c r="A6240" t="s">
        <v>10169</v>
      </c>
      <c r="B6240" t="s">
        <v>70</v>
      </c>
      <c r="C6240">
        <v>8989697390</v>
      </c>
      <c r="D6240" s="2">
        <v>1</v>
      </c>
      <c r="E6240" t="str">
        <f>"4574674200829869"</f>
        <v>4574674200829869</v>
      </c>
      <c r="F6240" t="str">
        <f>"753"</f>
        <v>753</v>
      </c>
      <c r="G6240">
        <v>1</v>
      </c>
      <c r="H6240">
        <v>2023</v>
      </c>
      <c r="I6240" t="s">
        <v>6355</v>
      </c>
    </row>
    <row r="6241" spans="1:9" x14ac:dyDescent="0.3">
      <c r="A6241" t="s">
        <v>10169</v>
      </c>
      <c r="B6241" t="s">
        <v>70</v>
      </c>
      <c r="C6241">
        <v>8989697390</v>
      </c>
      <c r="D6241" s="2">
        <v>1</v>
      </c>
      <c r="E6241" t="str">
        <f>"4574674200830040"</f>
        <v>4574674200830040</v>
      </c>
      <c r="F6241" t="str">
        <f>"323"</f>
        <v>323</v>
      </c>
      <c r="G6241">
        <v>1</v>
      </c>
      <c r="H6241">
        <v>2023</v>
      </c>
      <c r="I6241" t="s">
        <v>6356</v>
      </c>
    </row>
    <row r="6242" spans="1:9" x14ac:dyDescent="0.3">
      <c r="A6242" t="s">
        <v>10169</v>
      </c>
      <c r="B6242" t="s">
        <v>70</v>
      </c>
      <c r="C6242">
        <v>8989697390</v>
      </c>
      <c r="D6242" s="2">
        <v>1</v>
      </c>
      <c r="E6242" t="str">
        <f>"4574674200829976"</f>
        <v>4574674200829976</v>
      </c>
      <c r="F6242" t="str">
        <f>"447"</f>
        <v>447</v>
      </c>
      <c r="G6242">
        <v>1</v>
      </c>
      <c r="H6242">
        <v>2023</v>
      </c>
      <c r="I6242" t="s">
        <v>6357</v>
      </c>
    </row>
    <row r="6243" spans="1:9" x14ac:dyDescent="0.3">
      <c r="A6243" t="s">
        <v>10169</v>
      </c>
      <c r="B6243" t="s">
        <v>70</v>
      </c>
      <c r="C6243">
        <v>8989697390</v>
      </c>
      <c r="D6243" s="2">
        <v>1</v>
      </c>
      <c r="E6243" t="str">
        <f>"4574674200830057"</f>
        <v>4574674200830057</v>
      </c>
      <c r="F6243" t="str">
        <f>"719"</f>
        <v>719</v>
      </c>
      <c r="G6243">
        <v>1</v>
      </c>
      <c r="H6243">
        <v>2023</v>
      </c>
      <c r="I6243" t="s">
        <v>6358</v>
      </c>
    </row>
    <row r="6244" spans="1:9" x14ac:dyDescent="0.3">
      <c r="A6244" t="s">
        <v>10169</v>
      </c>
      <c r="B6244" t="s">
        <v>70</v>
      </c>
      <c r="C6244">
        <v>8989697390</v>
      </c>
      <c r="D6244" s="2">
        <v>1</v>
      </c>
      <c r="E6244" t="str">
        <f>"4574674200830206"</f>
        <v>4574674200830206</v>
      </c>
      <c r="F6244" t="str">
        <f>"785"</f>
        <v>785</v>
      </c>
      <c r="G6244">
        <v>1</v>
      </c>
      <c r="H6244">
        <v>2023</v>
      </c>
      <c r="I6244" t="s">
        <v>6359</v>
      </c>
    </row>
    <row r="6245" spans="1:9" x14ac:dyDescent="0.3">
      <c r="A6245" t="s">
        <v>10169</v>
      </c>
      <c r="B6245" t="s">
        <v>70</v>
      </c>
      <c r="C6245">
        <v>8989697390</v>
      </c>
      <c r="D6245" s="2">
        <v>1</v>
      </c>
      <c r="E6245" t="str">
        <f>"4574674200830081"</f>
        <v>4574674200830081</v>
      </c>
      <c r="F6245" t="str">
        <f>"677"</f>
        <v>677</v>
      </c>
      <c r="G6245">
        <v>1</v>
      </c>
      <c r="H6245">
        <v>2023</v>
      </c>
      <c r="I6245" t="s">
        <v>6360</v>
      </c>
    </row>
    <row r="6246" spans="1:9" x14ac:dyDescent="0.3">
      <c r="A6246" t="s">
        <v>10169</v>
      </c>
      <c r="B6246" t="s">
        <v>70</v>
      </c>
      <c r="C6246">
        <v>8989697390</v>
      </c>
      <c r="D6246" s="2">
        <v>1</v>
      </c>
      <c r="E6246" t="str">
        <f>"4574674200830115"</f>
        <v>4574674200830115</v>
      </c>
      <c r="F6246" t="str">
        <f>"368"</f>
        <v>368</v>
      </c>
      <c r="G6246">
        <v>1</v>
      </c>
      <c r="H6246">
        <v>2023</v>
      </c>
      <c r="I6246" t="s">
        <v>6361</v>
      </c>
    </row>
    <row r="6247" spans="1:9" x14ac:dyDescent="0.3">
      <c r="A6247" t="s">
        <v>10169</v>
      </c>
      <c r="B6247" t="s">
        <v>70</v>
      </c>
      <c r="C6247">
        <v>8989697390</v>
      </c>
      <c r="D6247" s="2">
        <v>1</v>
      </c>
      <c r="E6247" t="str">
        <f>"4574674200830255"</f>
        <v>4574674200830255</v>
      </c>
      <c r="F6247" t="str">
        <f>"389"</f>
        <v>389</v>
      </c>
      <c r="G6247">
        <v>1</v>
      </c>
      <c r="H6247">
        <v>2023</v>
      </c>
      <c r="I6247" t="s">
        <v>6362</v>
      </c>
    </row>
    <row r="6248" spans="1:9" x14ac:dyDescent="0.3">
      <c r="A6248" t="s">
        <v>10128</v>
      </c>
      <c r="B6248" t="s">
        <v>71</v>
      </c>
      <c r="C6248">
        <v>8989697390</v>
      </c>
      <c r="D6248" s="2">
        <v>1</v>
      </c>
      <c r="E6248" t="str">
        <f>"4574674200830339"</f>
        <v>4574674200830339</v>
      </c>
      <c r="F6248" t="str">
        <f>"879"</f>
        <v>879</v>
      </c>
      <c r="G6248">
        <v>1</v>
      </c>
      <c r="H6248">
        <v>2023</v>
      </c>
      <c r="I6248" t="s">
        <v>6363</v>
      </c>
    </row>
    <row r="6249" spans="1:9" x14ac:dyDescent="0.3">
      <c r="A6249" t="s">
        <v>10128</v>
      </c>
      <c r="B6249" t="s">
        <v>71</v>
      </c>
      <c r="C6249">
        <v>8989697390</v>
      </c>
      <c r="D6249" s="2">
        <v>1</v>
      </c>
      <c r="E6249" t="str">
        <f>"4574674200830164"</f>
        <v>4574674200830164</v>
      </c>
      <c r="F6249" t="str">
        <f>"196"</f>
        <v>196</v>
      </c>
      <c r="G6249">
        <v>1</v>
      </c>
      <c r="H6249">
        <v>2023</v>
      </c>
      <c r="I6249" t="s">
        <v>6364</v>
      </c>
    </row>
    <row r="6250" spans="1:9" x14ac:dyDescent="0.3">
      <c r="A6250" t="s">
        <v>10128</v>
      </c>
      <c r="B6250" t="s">
        <v>71</v>
      </c>
      <c r="C6250">
        <v>8989697390</v>
      </c>
      <c r="D6250" s="2">
        <v>1</v>
      </c>
      <c r="E6250" t="str">
        <f>"4574674200830362"</f>
        <v>4574674200830362</v>
      </c>
      <c r="F6250" t="str">
        <f>"244"</f>
        <v>244</v>
      </c>
      <c r="G6250">
        <v>1</v>
      </c>
      <c r="H6250">
        <v>2023</v>
      </c>
      <c r="I6250" t="s">
        <v>6365</v>
      </c>
    </row>
    <row r="6251" spans="1:9" x14ac:dyDescent="0.3">
      <c r="A6251" t="s">
        <v>10128</v>
      </c>
      <c r="B6251" t="s">
        <v>71</v>
      </c>
      <c r="C6251">
        <v>8989697390</v>
      </c>
      <c r="D6251" s="2">
        <v>1</v>
      </c>
      <c r="E6251" t="str">
        <f>"4574674200830396"</f>
        <v>4574674200830396</v>
      </c>
      <c r="F6251" t="str">
        <f>"660"</f>
        <v>660</v>
      </c>
      <c r="G6251">
        <v>1</v>
      </c>
      <c r="H6251">
        <v>2023</v>
      </c>
      <c r="I6251" t="s">
        <v>6366</v>
      </c>
    </row>
    <row r="6252" spans="1:9" x14ac:dyDescent="0.3">
      <c r="A6252" t="s">
        <v>10128</v>
      </c>
      <c r="B6252" t="s">
        <v>71</v>
      </c>
      <c r="C6252">
        <v>8989697390</v>
      </c>
      <c r="D6252" s="2">
        <v>1</v>
      </c>
      <c r="E6252" t="str">
        <f>"4574674200830198"</f>
        <v>4574674200830198</v>
      </c>
      <c r="F6252" t="str">
        <f>"483"</f>
        <v>483</v>
      </c>
      <c r="G6252">
        <v>1</v>
      </c>
      <c r="H6252">
        <v>2023</v>
      </c>
      <c r="I6252" t="s">
        <v>6367</v>
      </c>
    </row>
    <row r="6253" spans="1:9" x14ac:dyDescent="0.3">
      <c r="A6253" t="s">
        <v>10128</v>
      </c>
      <c r="B6253" t="s">
        <v>71</v>
      </c>
      <c r="C6253">
        <v>8989697390</v>
      </c>
      <c r="D6253" s="2">
        <v>1</v>
      </c>
      <c r="E6253" t="str">
        <f>"4574674200830180"</f>
        <v>4574674200830180</v>
      </c>
      <c r="F6253" t="str">
        <f>"951"</f>
        <v>951</v>
      </c>
      <c r="G6253">
        <v>1</v>
      </c>
      <c r="H6253">
        <v>2023</v>
      </c>
      <c r="I6253" t="s">
        <v>6368</v>
      </c>
    </row>
    <row r="6254" spans="1:9" x14ac:dyDescent="0.3">
      <c r="A6254" t="s">
        <v>10128</v>
      </c>
      <c r="B6254" t="s">
        <v>71</v>
      </c>
      <c r="C6254">
        <v>8989697390</v>
      </c>
      <c r="D6254" s="2">
        <v>1</v>
      </c>
      <c r="E6254" t="str">
        <f>"4574674200830479"</f>
        <v>4574674200830479</v>
      </c>
      <c r="F6254" t="str">
        <f>"656"</f>
        <v>656</v>
      </c>
      <c r="G6254">
        <v>1</v>
      </c>
      <c r="H6254">
        <v>2023</v>
      </c>
      <c r="I6254" t="s">
        <v>6369</v>
      </c>
    </row>
    <row r="6255" spans="1:9" x14ac:dyDescent="0.3">
      <c r="A6255" t="s">
        <v>10128</v>
      </c>
      <c r="B6255" t="s">
        <v>71</v>
      </c>
      <c r="C6255">
        <v>8989697390</v>
      </c>
      <c r="D6255" s="2">
        <v>1</v>
      </c>
      <c r="E6255" t="str">
        <f>"4574674200830610"</f>
        <v>4574674200830610</v>
      </c>
      <c r="F6255" t="str">
        <f>"669"</f>
        <v>669</v>
      </c>
      <c r="G6255">
        <v>1</v>
      </c>
      <c r="H6255">
        <v>2023</v>
      </c>
      <c r="I6255" t="s">
        <v>6370</v>
      </c>
    </row>
    <row r="6256" spans="1:9" x14ac:dyDescent="0.3">
      <c r="A6256" t="s">
        <v>10128</v>
      </c>
      <c r="B6256" t="s">
        <v>71</v>
      </c>
      <c r="C6256">
        <v>8989697390</v>
      </c>
      <c r="D6256" s="2">
        <v>1</v>
      </c>
      <c r="E6256" t="str">
        <f>"4574674200830529"</f>
        <v>4574674200830529</v>
      </c>
      <c r="F6256" t="str">
        <f>"794"</f>
        <v>794</v>
      </c>
      <c r="G6256">
        <v>1</v>
      </c>
      <c r="H6256">
        <v>2023</v>
      </c>
      <c r="I6256" t="s">
        <v>6371</v>
      </c>
    </row>
    <row r="6257" spans="1:9" x14ac:dyDescent="0.3">
      <c r="A6257" t="s">
        <v>10128</v>
      </c>
      <c r="B6257" t="s">
        <v>71</v>
      </c>
      <c r="C6257">
        <v>8989697390</v>
      </c>
      <c r="D6257" s="2">
        <v>1</v>
      </c>
      <c r="E6257" t="str">
        <f>"4574674200830537"</f>
        <v>4574674200830537</v>
      </c>
      <c r="F6257" t="str">
        <f>"105"</f>
        <v>105</v>
      </c>
      <c r="G6257">
        <v>1</v>
      </c>
      <c r="H6257">
        <v>2023</v>
      </c>
      <c r="I6257" t="s">
        <v>6372</v>
      </c>
    </row>
    <row r="6258" spans="1:9" x14ac:dyDescent="0.3">
      <c r="A6258" t="s">
        <v>10129</v>
      </c>
      <c r="B6258" t="s">
        <v>72</v>
      </c>
      <c r="C6258">
        <v>8989697390</v>
      </c>
      <c r="D6258" s="2">
        <v>1</v>
      </c>
      <c r="E6258" t="str">
        <f>"4574674200830800"</f>
        <v>4574674200830800</v>
      </c>
      <c r="F6258" t="str">
        <f>"751"</f>
        <v>751</v>
      </c>
      <c r="G6258">
        <v>1</v>
      </c>
      <c r="H6258">
        <v>2023</v>
      </c>
      <c r="I6258" t="s">
        <v>6373</v>
      </c>
    </row>
    <row r="6259" spans="1:9" x14ac:dyDescent="0.3">
      <c r="A6259" t="s">
        <v>10129</v>
      </c>
      <c r="B6259" t="s">
        <v>72</v>
      </c>
      <c r="C6259">
        <v>8989697390</v>
      </c>
      <c r="D6259" s="2">
        <v>1</v>
      </c>
      <c r="E6259" t="str">
        <f>"4574674200830685"</f>
        <v>4574674200830685</v>
      </c>
      <c r="F6259" t="str">
        <f>"044"</f>
        <v>044</v>
      </c>
      <c r="G6259">
        <v>1</v>
      </c>
      <c r="H6259">
        <v>2023</v>
      </c>
      <c r="I6259" t="s">
        <v>6374</v>
      </c>
    </row>
    <row r="6260" spans="1:9" x14ac:dyDescent="0.3">
      <c r="A6260" t="s">
        <v>10129</v>
      </c>
      <c r="B6260" t="s">
        <v>72</v>
      </c>
      <c r="C6260">
        <v>8989697390</v>
      </c>
      <c r="D6260" s="2">
        <v>1</v>
      </c>
      <c r="E6260" t="str">
        <f>"4574674200830701"</f>
        <v>4574674200830701</v>
      </c>
      <c r="F6260" t="str">
        <f>"804"</f>
        <v>804</v>
      </c>
      <c r="G6260">
        <v>1</v>
      </c>
      <c r="H6260">
        <v>2023</v>
      </c>
      <c r="I6260" t="s">
        <v>6375</v>
      </c>
    </row>
    <row r="6261" spans="1:9" x14ac:dyDescent="0.3">
      <c r="A6261" t="s">
        <v>10129</v>
      </c>
      <c r="B6261" t="s">
        <v>72</v>
      </c>
      <c r="C6261">
        <v>8989697390</v>
      </c>
      <c r="D6261" s="2">
        <v>1</v>
      </c>
      <c r="E6261" t="str">
        <f>"4574674200830883"</f>
        <v>4574674200830883</v>
      </c>
      <c r="F6261" t="str">
        <f>"017"</f>
        <v>017</v>
      </c>
      <c r="G6261">
        <v>1</v>
      </c>
      <c r="H6261">
        <v>2023</v>
      </c>
      <c r="I6261" t="s">
        <v>6376</v>
      </c>
    </row>
    <row r="6262" spans="1:9" x14ac:dyDescent="0.3">
      <c r="A6262" t="s">
        <v>10129</v>
      </c>
      <c r="B6262" t="s">
        <v>72</v>
      </c>
      <c r="C6262">
        <v>8989697390</v>
      </c>
      <c r="D6262" s="2">
        <v>1</v>
      </c>
      <c r="E6262" t="str">
        <f>"4574674200830941"</f>
        <v>4574674200830941</v>
      </c>
      <c r="F6262" t="str">
        <f>"745"</f>
        <v>745</v>
      </c>
      <c r="G6262">
        <v>1</v>
      </c>
      <c r="H6262">
        <v>2023</v>
      </c>
      <c r="I6262" t="s">
        <v>6377</v>
      </c>
    </row>
    <row r="6263" spans="1:9" x14ac:dyDescent="0.3">
      <c r="A6263" t="s">
        <v>10129</v>
      </c>
      <c r="B6263" t="s">
        <v>72</v>
      </c>
      <c r="C6263">
        <v>8989697390</v>
      </c>
      <c r="D6263" s="2">
        <v>1</v>
      </c>
      <c r="E6263" t="str">
        <f>"4574674200830784"</f>
        <v>4574674200830784</v>
      </c>
      <c r="F6263" t="str">
        <f>"608"</f>
        <v>608</v>
      </c>
      <c r="G6263">
        <v>1</v>
      </c>
      <c r="H6263">
        <v>2023</v>
      </c>
      <c r="I6263" t="s">
        <v>6378</v>
      </c>
    </row>
    <row r="6264" spans="1:9" x14ac:dyDescent="0.3">
      <c r="A6264" t="s">
        <v>10129</v>
      </c>
      <c r="B6264" t="s">
        <v>72</v>
      </c>
      <c r="C6264">
        <v>8989697390</v>
      </c>
      <c r="D6264" s="2">
        <v>1</v>
      </c>
      <c r="E6264" t="str">
        <f>"4574674200831022"</f>
        <v>4574674200831022</v>
      </c>
      <c r="F6264" t="str">
        <f>"401"</f>
        <v>401</v>
      </c>
      <c r="G6264">
        <v>1</v>
      </c>
      <c r="H6264">
        <v>2023</v>
      </c>
      <c r="I6264" t="s">
        <v>6379</v>
      </c>
    </row>
    <row r="6265" spans="1:9" x14ac:dyDescent="0.3">
      <c r="A6265" t="s">
        <v>10129</v>
      </c>
      <c r="B6265" t="s">
        <v>72</v>
      </c>
      <c r="C6265">
        <v>8989697390</v>
      </c>
      <c r="D6265" s="2">
        <v>1</v>
      </c>
      <c r="E6265" t="str">
        <f>"4574674200830792"</f>
        <v>4574674200830792</v>
      </c>
      <c r="F6265" t="str">
        <f>"309"</f>
        <v>309</v>
      </c>
      <c r="G6265">
        <v>1</v>
      </c>
      <c r="H6265">
        <v>2023</v>
      </c>
      <c r="I6265" t="s">
        <v>6380</v>
      </c>
    </row>
    <row r="6266" spans="1:9" x14ac:dyDescent="0.3">
      <c r="A6266" t="s">
        <v>10129</v>
      </c>
      <c r="B6266" t="s">
        <v>72</v>
      </c>
      <c r="C6266">
        <v>8989697390</v>
      </c>
      <c r="D6266" s="2">
        <v>1</v>
      </c>
      <c r="E6266" t="str">
        <f>"4574674200831204"</f>
        <v>4574674200831204</v>
      </c>
      <c r="F6266" t="str">
        <f>"173"</f>
        <v>173</v>
      </c>
      <c r="G6266">
        <v>1</v>
      </c>
      <c r="H6266">
        <v>2023</v>
      </c>
      <c r="I6266" t="s">
        <v>6381</v>
      </c>
    </row>
    <row r="6267" spans="1:9" x14ac:dyDescent="0.3">
      <c r="A6267" t="s">
        <v>10129</v>
      </c>
      <c r="B6267" t="s">
        <v>72</v>
      </c>
      <c r="C6267">
        <v>8989697390</v>
      </c>
      <c r="D6267" s="2">
        <v>1</v>
      </c>
      <c r="E6267" t="str">
        <f>"4574674200831048"</f>
        <v>4574674200831048</v>
      </c>
      <c r="F6267" t="str">
        <f>"471"</f>
        <v>471</v>
      </c>
      <c r="G6267">
        <v>1</v>
      </c>
      <c r="H6267">
        <v>2023</v>
      </c>
      <c r="I6267" t="s">
        <v>6382</v>
      </c>
    </row>
    <row r="6268" spans="1:9" x14ac:dyDescent="0.3">
      <c r="A6268" t="s">
        <v>10170</v>
      </c>
      <c r="B6268" t="s">
        <v>73</v>
      </c>
      <c r="C6268">
        <v>8989697390</v>
      </c>
      <c r="D6268" s="2">
        <v>1</v>
      </c>
      <c r="E6268" t="str">
        <f>"4574674200831220"</f>
        <v>4574674200831220</v>
      </c>
      <c r="F6268" t="str">
        <f>"430"</f>
        <v>430</v>
      </c>
      <c r="G6268">
        <v>1</v>
      </c>
      <c r="H6268">
        <v>2023</v>
      </c>
      <c r="I6268" t="s">
        <v>6383</v>
      </c>
    </row>
    <row r="6269" spans="1:9" x14ac:dyDescent="0.3">
      <c r="A6269" t="s">
        <v>10170</v>
      </c>
      <c r="B6269" t="s">
        <v>73</v>
      </c>
      <c r="C6269">
        <v>8989697390</v>
      </c>
      <c r="D6269" s="2">
        <v>1</v>
      </c>
      <c r="E6269" t="str">
        <f>"4574674200831071"</f>
        <v>4574674200831071</v>
      </c>
      <c r="F6269" t="str">
        <f>"432"</f>
        <v>432</v>
      </c>
      <c r="G6269">
        <v>1</v>
      </c>
      <c r="H6269">
        <v>2023</v>
      </c>
      <c r="I6269" t="s">
        <v>6384</v>
      </c>
    </row>
    <row r="6270" spans="1:9" x14ac:dyDescent="0.3">
      <c r="A6270" t="s">
        <v>10170</v>
      </c>
      <c r="B6270" t="s">
        <v>73</v>
      </c>
      <c r="C6270">
        <v>8989697390</v>
      </c>
      <c r="D6270" s="2">
        <v>1</v>
      </c>
      <c r="E6270" t="str">
        <f>"4574674200831188"</f>
        <v>4574674200831188</v>
      </c>
      <c r="F6270" t="str">
        <f>"786"</f>
        <v>786</v>
      </c>
      <c r="G6270">
        <v>1</v>
      </c>
      <c r="H6270">
        <v>2023</v>
      </c>
      <c r="I6270" t="s">
        <v>6385</v>
      </c>
    </row>
    <row r="6271" spans="1:9" x14ac:dyDescent="0.3">
      <c r="A6271" t="s">
        <v>10170</v>
      </c>
      <c r="B6271" t="s">
        <v>73</v>
      </c>
      <c r="C6271">
        <v>8989697390</v>
      </c>
      <c r="D6271" s="2">
        <v>1</v>
      </c>
      <c r="E6271" t="str">
        <f>"4574674200831196"</f>
        <v>4574674200831196</v>
      </c>
      <c r="F6271" t="str">
        <f>"362"</f>
        <v>362</v>
      </c>
      <c r="G6271">
        <v>1</v>
      </c>
      <c r="H6271">
        <v>2023</v>
      </c>
      <c r="I6271" t="s">
        <v>6386</v>
      </c>
    </row>
    <row r="6272" spans="1:9" x14ac:dyDescent="0.3">
      <c r="A6272" t="s">
        <v>10170</v>
      </c>
      <c r="B6272" t="s">
        <v>73</v>
      </c>
      <c r="C6272">
        <v>8989697390</v>
      </c>
      <c r="D6272" s="2">
        <v>1</v>
      </c>
      <c r="E6272" t="str">
        <f>"4574674200831428"</f>
        <v>4574674200831428</v>
      </c>
      <c r="F6272" t="str">
        <f>"279"</f>
        <v>279</v>
      </c>
      <c r="G6272">
        <v>1</v>
      </c>
      <c r="H6272">
        <v>2023</v>
      </c>
      <c r="I6272" t="s">
        <v>6387</v>
      </c>
    </row>
    <row r="6273" spans="1:9" x14ac:dyDescent="0.3">
      <c r="A6273" t="s">
        <v>10170</v>
      </c>
      <c r="B6273" t="s">
        <v>73</v>
      </c>
      <c r="C6273">
        <v>8989697390</v>
      </c>
      <c r="D6273" s="2">
        <v>1</v>
      </c>
      <c r="E6273" t="str">
        <f>"4574674200831261"</f>
        <v>4574674200831261</v>
      </c>
      <c r="F6273" t="str">
        <f>"831"</f>
        <v>831</v>
      </c>
      <c r="G6273">
        <v>1</v>
      </c>
      <c r="H6273">
        <v>2023</v>
      </c>
      <c r="I6273" t="s">
        <v>6388</v>
      </c>
    </row>
    <row r="6274" spans="1:9" x14ac:dyDescent="0.3">
      <c r="A6274" t="s">
        <v>10170</v>
      </c>
      <c r="B6274" t="s">
        <v>73</v>
      </c>
      <c r="C6274">
        <v>8989697390</v>
      </c>
      <c r="D6274" s="2">
        <v>1</v>
      </c>
      <c r="E6274" t="str">
        <f>"4574674200831303"</f>
        <v>4574674200831303</v>
      </c>
      <c r="F6274" t="str">
        <f>"611"</f>
        <v>611</v>
      </c>
      <c r="G6274">
        <v>1</v>
      </c>
      <c r="H6274">
        <v>2023</v>
      </c>
      <c r="I6274" t="s">
        <v>6389</v>
      </c>
    </row>
    <row r="6275" spans="1:9" x14ac:dyDescent="0.3">
      <c r="A6275" t="s">
        <v>10170</v>
      </c>
      <c r="B6275" t="s">
        <v>73</v>
      </c>
      <c r="C6275">
        <v>8989697390</v>
      </c>
      <c r="D6275" s="2">
        <v>1</v>
      </c>
      <c r="E6275" t="str">
        <f>"4574674200831485"</f>
        <v>4574674200831485</v>
      </c>
      <c r="F6275" t="str">
        <f>"406"</f>
        <v>406</v>
      </c>
      <c r="G6275">
        <v>1</v>
      </c>
      <c r="H6275">
        <v>2023</v>
      </c>
      <c r="I6275" t="s">
        <v>6390</v>
      </c>
    </row>
    <row r="6276" spans="1:9" x14ac:dyDescent="0.3">
      <c r="A6276" t="s">
        <v>10170</v>
      </c>
      <c r="B6276" t="s">
        <v>73</v>
      </c>
      <c r="C6276">
        <v>8989697390</v>
      </c>
      <c r="D6276" s="2">
        <v>1</v>
      </c>
      <c r="E6276" t="str">
        <f>"4574674200831329"</f>
        <v>4574674200831329</v>
      </c>
      <c r="F6276" t="str">
        <f>"733"</f>
        <v>733</v>
      </c>
      <c r="G6276">
        <v>1</v>
      </c>
      <c r="H6276">
        <v>2023</v>
      </c>
      <c r="I6276" t="s">
        <v>6391</v>
      </c>
    </row>
    <row r="6277" spans="1:9" x14ac:dyDescent="0.3">
      <c r="A6277" t="s">
        <v>10170</v>
      </c>
      <c r="B6277" t="s">
        <v>73</v>
      </c>
      <c r="C6277">
        <v>8989697390</v>
      </c>
      <c r="D6277" s="2">
        <v>1</v>
      </c>
      <c r="E6277" t="str">
        <f>"4574674200831352"</f>
        <v>4574674200831352</v>
      </c>
      <c r="F6277" t="str">
        <f>"348"</f>
        <v>348</v>
      </c>
      <c r="G6277">
        <v>1</v>
      </c>
      <c r="H6277">
        <v>2023</v>
      </c>
      <c r="I6277" t="s">
        <v>6392</v>
      </c>
    </row>
    <row r="6278" spans="1:9" x14ac:dyDescent="0.3">
      <c r="A6278" t="s">
        <v>10171</v>
      </c>
      <c r="B6278" t="s">
        <v>74</v>
      </c>
      <c r="C6278">
        <v>8989697390</v>
      </c>
      <c r="D6278" s="2">
        <v>1</v>
      </c>
      <c r="E6278" t="str">
        <f>"4574674200831543"</f>
        <v>4574674200831543</v>
      </c>
      <c r="F6278" t="str">
        <f>"201"</f>
        <v>201</v>
      </c>
      <c r="G6278">
        <v>1</v>
      </c>
      <c r="H6278">
        <v>2023</v>
      </c>
      <c r="I6278" t="s">
        <v>6393</v>
      </c>
    </row>
    <row r="6279" spans="1:9" x14ac:dyDescent="0.3">
      <c r="A6279" t="s">
        <v>10171</v>
      </c>
      <c r="B6279" t="s">
        <v>74</v>
      </c>
      <c r="C6279">
        <v>8989697390</v>
      </c>
      <c r="D6279" s="2">
        <v>1</v>
      </c>
      <c r="E6279" t="str">
        <f>"4574674200831576"</f>
        <v>4574674200831576</v>
      </c>
      <c r="F6279" t="str">
        <f>"911"</f>
        <v>911</v>
      </c>
      <c r="G6279">
        <v>1</v>
      </c>
      <c r="H6279">
        <v>2023</v>
      </c>
      <c r="I6279" t="s">
        <v>6394</v>
      </c>
    </row>
    <row r="6280" spans="1:9" x14ac:dyDescent="0.3">
      <c r="A6280" t="s">
        <v>10171</v>
      </c>
      <c r="B6280" t="s">
        <v>74</v>
      </c>
      <c r="C6280">
        <v>8989697390</v>
      </c>
      <c r="D6280" s="2">
        <v>1</v>
      </c>
      <c r="E6280" t="str">
        <f>"4574674200831675"</f>
        <v>4574674200831675</v>
      </c>
      <c r="F6280" t="str">
        <f>"248"</f>
        <v>248</v>
      </c>
      <c r="G6280">
        <v>1</v>
      </c>
      <c r="H6280">
        <v>2023</v>
      </c>
      <c r="I6280" t="s">
        <v>6395</v>
      </c>
    </row>
    <row r="6281" spans="1:9" x14ac:dyDescent="0.3">
      <c r="A6281" t="s">
        <v>10171</v>
      </c>
      <c r="B6281" t="s">
        <v>74</v>
      </c>
      <c r="C6281">
        <v>8989697390</v>
      </c>
      <c r="D6281" s="2">
        <v>1</v>
      </c>
      <c r="E6281" t="str">
        <f>"4574674200831832"</f>
        <v>4574674200831832</v>
      </c>
      <c r="F6281" t="str">
        <f>"334"</f>
        <v>334</v>
      </c>
      <c r="G6281">
        <v>1</v>
      </c>
      <c r="H6281">
        <v>2023</v>
      </c>
      <c r="I6281" t="s">
        <v>6396</v>
      </c>
    </row>
    <row r="6282" spans="1:9" x14ac:dyDescent="0.3">
      <c r="A6282" t="s">
        <v>10171</v>
      </c>
      <c r="B6282" t="s">
        <v>74</v>
      </c>
      <c r="C6282">
        <v>8989697390</v>
      </c>
      <c r="D6282" s="2">
        <v>1</v>
      </c>
      <c r="E6282" t="str">
        <f>"4574674200831824"</f>
        <v>4574674200831824</v>
      </c>
      <c r="F6282" t="str">
        <f>"962"</f>
        <v>962</v>
      </c>
      <c r="G6282">
        <v>1</v>
      </c>
      <c r="H6282">
        <v>2023</v>
      </c>
      <c r="I6282" t="s">
        <v>6397</v>
      </c>
    </row>
    <row r="6283" spans="1:9" x14ac:dyDescent="0.3">
      <c r="A6283" t="s">
        <v>10171</v>
      </c>
      <c r="B6283" t="s">
        <v>74</v>
      </c>
      <c r="C6283">
        <v>8989697390</v>
      </c>
      <c r="D6283" s="2">
        <v>1</v>
      </c>
      <c r="E6283" t="str">
        <f>"4574674200831816"</f>
        <v>4574674200831816</v>
      </c>
      <c r="F6283" t="str">
        <f>"865"</f>
        <v>865</v>
      </c>
      <c r="G6283">
        <v>1</v>
      </c>
      <c r="H6283">
        <v>2023</v>
      </c>
      <c r="I6283" t="s">
        <v>6398</v>
      </c>
    </row>
    <row r="6284" spans="1:9" x14ac:dyDescent="0.3">
      <c r="A6284" t="s">
        <v>10171</v>
      </c>
      <c r="B6284" t="s">
        <v>74</v>
      </c>
      <c r="C6284">
        <v>8989697390</v>
      </c>
      <c r="D6284" s="2">
        <v>1</v>
      </c>
      <c r="E6284" t="str">
        <f>"4574674200831774"</f>
        <v>4574674200831774</v>
      </c>
      <c r="F6284" t="str">
        <f>"863"</f>
        <v>863</v>
      </c>
      <c r="G6284">
        <v>1</v>
      </c>
      <c r="H6284">
        <v>2023</v>
      </c>
      <c r="I6284" t="s">
        <v>6399</v>
      </c>
    </row>
    <row r="6285" spans="1:9" x14ac:dyDescent="0.3">
      <c r="A6285" t="s">
        <v>10171</v>
      </c>
      <c r="B6285" t="s">
        <v>74</v>
      </c>
      <c r="C6285">
        <v>8989697390</v>
      </c>
      <c r="D6285" s="2">
        <v>1</v>
      </c>
      <c r="E6285" t="str">
        <f>"4574674200831790"</f>
        <v>4574674200831790</v>
      </c>
      <c r="F6285" t="str">
        <f>"523"</f>
        <v>523</v>
      </c>
      <c r="G6285">
        <v>1</v>
      </c>
      <c r="H6285">
        <v>2023</v>
      </c>
      <c r="I6285" t="s">
        <v>6400</v>
      </c>
    </row>
    <row r="6286" spans="1:9" x14ac:dyDescent="0.3">
      <c r="A6286" t="s">
        <v>10171</v>
      </c>
      <c r="B6286" t="s">
        <v>74</v>
      </c>
      <c r="C6286">
        <v>8989697390</v>
      </c>
      <c r="D6286" s="2">
        <v>1</v>
      </c>
      <c r="E6286" t="str">
        <f>"4574674200831899"</f>
        <v>4574674200831899</v>
      </c>
      <c r="F6286" t="str">
        <f>"022"</f>
        <v>022</v>
      </c>
      <c r="G6286">
        <v>1</v>
      </c>
      <c r="H6286">
        <v>2023</v>
      </c>
      <c r="I6286" t="s">
        <v>6401</v>
      </c>
    </row>
    <row r="6287" spans="1:9" x14ac:dyDescent="0.3">
      <c r="A6287" t="s">
        <v>10171</v>
      </c>
      <c r="B6287" t="s">
        <v>74</v>
      </c>
      <c r="C6287">
        <v>8989697390</v>
      </c>
      <c r="D6287" s="2">
        <v>1</v>
      </c>
      <c r="E6287" t="str">
        <f>"4574674200832020"</f>
        <v>4574674200832020</v>
      </c>
      <c r="F6287" t="str">
        <f>"883"</f>
        <v>883</v>
      </c>
      <c r="G6287">
        <v>1</v>
      </c>
      <c r="H6287">
        <v>2023</v>
      </c>
      <c r="I6287" t="s">
        <v>6402</v>
      </c>
    </row>
    <row r="6288" spans="1:9" x14ac:dyDescent="0.3">
      <c r="A6288" t="s">
        <v>10172</v>
      </c>
      <c r="B6288" t="s">
        <v>75</v>
      </c>
      <c r="C6288">
        <v>8989697390</v>
      </c>
      <c r="D6288" s="2">
        <v>1</v>
      </c>
      <c r="E6288" t="str">
        <f>"4574674200831931"</f>
        <v>4574674200831931</v>
      </c>
      <c r="F6288" t="str">
        <f>"978"</f>
        <v>978</v>
      </c>
      <c r="G6288">
        <v>1</v>
      </c>
      <c r="H6288">
        <v>2023</v>
      </c>
      <c r="I6288" t="s">
        <v>6403</v>
      </c>
    </row>
    <row r="6289" spans="1:9" x14ac:dyDescent="0.3">
      <c r="A6289" t="s">
        <v>10172</v>
      </c>
      <c r="B6289" t="s">
        <v>75</v>
      </c>
      <c r="C6289">
        <v>8989697390</v>
      </c>
      <c r="D6289" s="2">
        <v>1</v>
      </c>
      <c r="E6289" t="str">
        <f>"4574674200832145"</f>
        <v>4574674200832145</v>
      </c>
      <c r="F6289" t="str">
        <f>"445"</f>
        <v>445</v>
      </c>
      <c r="G6289">
        <v>1</v>
      </c>
      <c r="H6289">
        <v>2023</v>
      </c>
      <c r="I6289" t="s">
        <v>6404</v>
      </c>
    </row>
    <row r="6290" spans="1:9" x14ac:dyDescent="0.3">
      <c r="A6290" t="s">
        <v>10172</v>
      </c>
      <c r="B6290" t="s">
        <v>75</v>
      </c>
      <c r="C6290">
        <v>8989697390</v>
      </c>
      <c r="D6290" s="2">
        <v>1</v>
      </c>
      <c r="E6290" t="str">
        <f>"4574674200831949"</f>
        <v>4574674200831949</v>
      </c>
      <c r="F6290" t="str">
        <f>"576"</f>
        <v>576</v>
      </c>
      <c r="G6290">
        <v>1</v>
      </c>
      <c r="H6290">
        <v>2023</v>
      </c>
      <c r="I6290" t="s">
        <v>6405</v>
      </c>
    </row>
    <row r="6291" spans="1:9" x14ac:dyDescent="0.3">
      <c r="A6291" t="s">
        <v>10172</v>
      </c>
      <c r="B6291" t="s">
        <v>75</v>
      </c>
      <c r="C6291">
        <v>8989697390</v>
      </c>
      <c r="D6291" s="2">
        <v>1</v>
      </c>
      <c r="E6291" t="str">
        <f>"4574674200831956"</f>
        <v>4574674200831956</v>
      </c>
      <c r="F6291" t="str">
        <f>"813"</f>
        <v>813</v>
      </c>
      <c r="G6291">
        <v>1</v>
      </c>
      <c r="H6291">
        <v>2023</v>
      </c>
      <c r="I6291" t="s">
        <v>6406</v>
      </c>
    </row>
    <row r="6292" spans="1:9" x14ac:dyDescent="0.3">
      <c r="A6292" t="s">
        <v>10172</v>
      </c>
      <c r="B6292" t="s">
        <v>75</v>
      </c>
      <c r="C6292">
        <v>8989697390</v>
      </c>
      <c r="D6292" s="2">
        <v>1</v>
      </c>
      <c r="E6292" t="str">
        <f>"4574674200832152"</f>
        <v>4574674200832152</v>
      </c>
      <c r="F6292" t="str">
        <f>"638"</f>
        <v>638</v>
      </c>
      <c r="G6292">
        <v>1</v>
      </c>
      <c r="H6292">
        <v>2023</v>
      </c>
      <c r="I6292" t="s">
        <v>6407</v>
      </c>
    </row>
    <row r="6293" spans="1:9" x14ac:dyDescent="0.3">
      <c r="A6293" t="s">
        <v>10172</v>
      </c>
      <c r="B6293" t="s">
        <v>75</v>
      </c>
      <c r="C6293">
        <v>8989697390</v>
      </c>
      <c r="D6293" s="2">
        <v>1</v>
      </c>
      <c r="E6293" t="str">
        <f>"4574674200832202"</f>
        <v>4574674200832202</v>
      </c>
      <c r="F6293" t="str">
        <f>"288"</f>
        <v>288</v>
      </c>
      <c r="G6293">
        <v>1</v>
      </c>
      <c r="H6293">
        <v>2023</v>
      </c>
      <c r="I6293" t="s">
        <v>6408</v>
      </c>
    </row>
    <row r="6294" spans="1:9" x14ac:dyDescent="0.3">
      <c r="A6294" t="s">
        <v>10172</v>
      </c>
      <c r="B6294" t="s">
        <v>75</v>
      </c>
      <c r="C6294">
        <v>8989697390</v>
      </c>
      <c r="D6294" s="2">
        <v>1</v>
      </c>
      <c r="E6294" t="str">
        <f>"4574674200832186"</f>
        <v>4574674200832186</v>
      </c>
      <c r="F6294" t="str">
        <f>"279"</f>
        <v>279</v>
      </c>
      <c r="G6294">
        <v>1</v>
      </c>
      <c r="H6294">
        <v>2023</v>
      </c>
      <c r="I6294" t="s">
        <v>6409</v>
      </c>
    </row>
    <row r="6295" spans="1:9" x14ac:dyDescent="0.3">
      <c r="A6295" t="s">
        <v>10172</v>
      </c>
      <c r="B6295" t="s">
        <v>75</v>
      </c>
      <c r="C6295">
        <v>8989697390</v>
      </c>
      <c r="D6295" s="2">
        <v>1</v>
      </c>
      <c r="E6295" t="str">
        <f>"4574674200832491"</f>
        <v>4574674200832491</v>
      </c>
      <c r="F6295" t="str">
        <f>"691"</f>
        <v>691</v>
      </c>
      <c r="G6295">
        <v>1</v>
      </c>
      <c r="H6295">
        <v>2023</v>
      </c>
      <c r="I6295" t="s">
        <v>6410</v>
      </c>
    </row>
    <row r="6296" spans="1:9" x14ac:dyDescent="0.3">
      <c r="A6296" t="s">
        <v>10172</v>
      </c>
      <c r="B6296" t="s">
        <v>75</v>
      </c>
      <c r="C6296">
        <v>8989697390</v>
      </c>
      <c r="D6296" s="2">
        <v>1</v>
      </c>
      <c r="E6296" t="str">
        <f>"4574674200832525"</f>
        <v>4574674200832525</v>
      </c>
      <c r="F6296" t="str">
        <f>"249"</f>
        <v>249</v>
      </c>
      <c r="G6296">
        <v>1</v>
      </c>
      <c r="H6296">
        <v>2023</v>
      </c>
      <c r="I6296" t="s">
        <v>6411</v>
      </c>
    </row>
    <row r="6297" spans="1:9" x14ac:dyDescent="0.3">
      <c r="A6297" t="s">
        <v>10172</v>
      </c>
      <c r="B6297" t="s">
        <v>75</v>
      </c>
      <c r="C6297">
        <v>8989697390</v>
      </c>
      <c r="D6297" s="2">
        <v>1</v>
      </c>
      <c r="E6297" t="str">
        <f>"4574674200832616"</f>
        <v>4574674200832616</v>
      </c>
      <c r="F6297" t="str">
        <f>"887"</f>
        <v>887</v>
      </c>
      <c r="G6297">
        <v>1</v>
      </c>
      <c r="H6297">
        <v>2023</v>
      </c>
      <c r="I6297" t="s">
        <v>6412</v>
      </c>
    </row>
    <row r="6298" spans="1:9" x14ac:dyDescent="0.3">
      <c r="A6298" t="s">
        <v>10173</v>
      </c>
      <c r="B6298" t="s">
        <v>76</v>
      </c>
      <c r="C6298">
        <v>8989697390</v>
      </c>
      <c r="D6298" s="2">
        <v>1</v>
      </c>
      <c r="E6298" t="str">
        <f>"4574674200832285"</f>
        <v>4574674200832285</v>
      </c>
      <c r="F6298" t="str">
        <f>"817"</f>
        <v>817</v>
      </c>
      <c r="G6298">
        <v>1</v>
      </c>
      <c r="H6298">
        <v>2023</v>
      </c>
      <c r="I6298" t="s">
        <v>6413</v>
      </c>
    </row>
    <row r="6299" spans="1:9" x14ac:dyDescent="0.3">
      <c r="A6299" t="s">
        <v>10173</v>
      </c>
      <c r="B6299" t="s">
        <v>76</v>
      </c>
      <c r="C6299">
        <v>8989697390</v>
      </c>
      <c r="D6299" s="2">
        <v>1</v>
      </c>
      <c r="E6299" t="str">
        <f>"4574674200832251"</f>
        <v>4574674200832251</v>
      </c>
      <c r="F6299" t="str">
        <f>"534"</f>
        <v>534</v>
      </c>
      <c r="G6299">
        <v>1</v>
      </c>
      <c r="H6299">
        <v>2023</v>
      </c>
      <c r="I6299" t="s">
        <v>6414</v>
      </c>
    </row>
    <row r="6300" spans="1:9" x14ac:dyDescent="0.3">
      <c r="A6300" t="s">
        <v>10173</v>
      </c>
      <c r="B6300" t="s">
        <v>76</v>
      </c>
      <c r="C6300">
        <v>8989697390</v>
      </c>
      <c r="D6300" s="2">
        <v>1</v>
      </c>
      <c r="E6300" t="str">
        <f>"4574674200832269"</f>
        <v>4574674200832269</v>
      </c>
      <c r="F6300" t="str">
        <f>"491"</f>
        <v>491</v>
      </c>
      <c r="G6300">
        <v>1</v>
      </c>
      <c r="H6300">
        <v>2023</v>
      </c>
      <c r="I6300" t="s">
        <v>6415</v>
      </c>
    </row>
    <row r="6301" spans="1:9" x14ac:dyDescent="0.3">
      <c r="A6301" t="s">
        <v>10173</v>
      </c>
      <c r="B6301" t="s">
        <v>76</v>
      </c>
      <c r="C6301">
        <v>8989697390</v>
      </c>
      <c r="D6301" s="2">
        <v>1</v>
      </c>
      <c r="E6301" t="str">
        <f>"4574674200832293"</f>
        <v>4574674200832293</v>
      </c>
      <c r="F6301" t="str">
        <f>"796"</f>
        <v>796</v>
      </c>
      <c r="G6301">
        <v>1</v>
      </c>
      <c r="H6301">
        <v>2023</v>
      </c>
      <c r="I6301" t="s">
        <v>6416</v>
      </c>
    </row>
    <row r="6302" spans="1:9" x14ac:dyDescent="0.3">
      <c r="A6302" t="s">
        <v>10173</v>
      </c>
      <c r="B6302" t="s">
        <v>76</v>
      </c>
      <c r="C6302">
        <v>8989697390</v>
      </c>
      <c r="D6302" s="2">
        <v>1</v>
      </c>
      <c r="E6302" t="str">
        <f>"4574674200832640"</f>
        <v>4574674200832640</v>
      </c>
      <c r="F6302" t="str">
        <f>"865"</f>
        <v>865</v>
      </c>
      <c r="G6302">
        <v>1</v>
      </c>
      <c r="H6302">
        <v>2023</v>
      </c>
      <c r="I6302" t="s">
        <v>6417</v>
      </c>
    </row>
    <row r="6303" spans="1:9" x14ac:dyDescent="0.3">
      <c r="A6303" t="s">
        <v>10173</v>
      </c>
      <c r="B6303" t="s">
        <v>76</v>
      </c>
      <c r="C6303">
        <v>8989697390</v>
      </c>
      <c r="D6303" s="2">
        <v>1</v>
      </c>
      <c r="E6303" t="str">
        <f>"4574674200832673"</f>
        <v>4574674200832673</v>
      </c>
      <c r="F6303" t="str">
        <f>"299"</f>
        <v>299</v>
      </c>
      <c r="G6303">
        <v>1</v>
      </c>
      <c r="H6303">
        <v>2023</v>
      </c>
      <c r="I6303" t="s">
        <v>6418</v>
      </c>
    </row>
    <row r="6304" spans="1:9" x14ac:dyDescent="0.3">
      <c r="A6304" t="s">
        <v>10173</v>
      </c>
      <c r="B6304" t="s">
        <v>76</v>
      </c>
      <c r="C6304">
        <v>8989697390</v>
      </c>
      <c r="D6304" s="2">
        <v>1</v>
      </c>
      <c r="E6304" t="str">
        <f>"4574674200832780"</f>
        <v>4574674200832780</v>
      </c>
      <c r="F6304" t="str">
        <f>"913"</f>
        <v>913</v>
      </c>
      <c r="G6304">
        <v>1</v>
      </c>
      <c r="H6304">
        <v>2023</v>
      </c>
      <c r="I6304" t="s">
        <v>6419</v>
      </c>
    </row>
    <row r="6305" spans="1:9" x14ac:dyDescent="0.3">
      <c r="A6305" t="s">
        <v>10173</v>
      </c>
      <c r="B6305" t="s">
        <v>76</v>
      </c>
      <c r="C6305">
        <v>8989697390</v>
      </c>
      <c r="D6305" s="2">
        <v>1</v>
      </c>
      <c r="E6305" t="str">
        <f>"4574674200832376"</f>
        <v>4574674200832376</v>
      </c>
      <c r="F6305" t="str">
        <f>"813"</f>
        <v>813</v>
      </c>
      <c r="G6305">
        <v>1</v>
      </c>
      <c r="H6305">
        <v>2023</v>
      </c>
      <c r="I6305" t="s">
        <v>6420</v>
      </c>
    </row>
    <row r="6306" spans="1:9" x14ac:dyDescent="0.3">
      <c r="A6306" t="s">
        <v>10173</v>
      </c>
      <c r="B6306" t="s">
        <v>76</v>
      </c>
      <c r="C6306">
        <v>8989697390</v>
      </c>
      <c r="D6306" s="2">
        <v>1</v>
      </c>
      <c r="E6306" t="str">
        <f>"4574674200832830"</f>
        <v>4574674200832830</v>
      </c>
      <c r="F6306" t="str">
        <f>"766"</f>
        <v>766</v>
      </c>
      <c r="G6306">
        <v>1</v>
      </c>
      <c r="H6306">
        <v>2023</v>
      </c>
      <c r="I6306" t="s">
        <v>6421</v>
      </c>
    </row>
    <row r="6307" spans="1:9" x14ac:dyDescent="0.3">
      <c r="A6307" t="s">
        <v>10173</v>
      </c>
      <c r="B6307" t="s">
        <v>76</v>
      </c>
      <c r="C6307">
        <v>8989697390</v>
      </c>
      <c r="D6307" s="2">
        <v>1</v>
      </c>
      <c r="E6307" t="str">
        <f>"4574674200832855"</f>
        <v>4574674200832855</v>
      </c>
      <c r="F6307" t="str">
        <f>"099"</f>
        <v>099</v>
      </c>
      <c r="G6307">
        <v>1</v>
      </c>
      <c r="H6307">
        <v>2023</v>
      </c>
      <c r="I6307" t="s">
        <v>6422</v>
      </c>
    </row>
    <row r="6308" spans="1:9" x14ac:dyDescent="0.3">
      <c r="A6308" t="s">
        <v>10146</v>
      </c>
      <c r="B6308" t="s">
        <v>61</v>
      </c>
      <c r="C6308">
        <v>8989697390</v>
      </c>
      <c r="D6308" s="2">
        <v>1</v>
      </c>
      <c r="E6308" t="str">
        <f>"4574674200832947"</f>
        <v>4574674200832947</v>
      </c>
      <c r="F6308" t="str">
        <f>"281"</f>
        <v>281</v>
      </c>
      <c r="G6308">
        <v>1</v>
      </c>
      <c r="H6308">
        <v>2023</v>
      </c>
      <c r="I6308" t="s">
        <v>6423</v>
      </c>
    </row>
    <row r="6309" spans="1:9" x14ac:dyDescent="0.3">
      <c r="A6309" t="s">
        <v>10146</v>
      </c>
      <c r="B6309" t="s">
        <v>61</v>
      </c>
      <c r="C6309">
        <v>8989697390</v>
      </c>
      <c r="D6309" s="2">
        <v>1</v>
      </c>
      <c r="E6309" t="str">
        <f>"4574674200833283"</f>
        <v>4574674200833283</v>
      </c>
      <c r="F6309" t="str">
        <f>"297"</f>
        <v>297</v>
      </c>
      <c r="G6309">
        <v>1</v>
      </c>
      <c r="H6309">
        <v>2023</v>
      </c>
      <c r="I6309" t="s">
        <v>6424</v>
      </c>
    </row>
    <row r="6310" spans="1:9" x14ac:dyDescent="0.3">
      <c r="A6310" t="s">
        <v>10146</v>
      </c>
      <c r="B6310" t="s">
        <v>61</v>
      </c>
      <c r="C6310">
        <v>8989697390</v>
      </c>
      <c r="D6310" s="2">
        <v>1</v>
      </c>
      <c r="E6310" t="str">
        <f>"4574674200833309"</f>
        <v>4574674200833309</v>
      </c>
      <c r="F6310" t="str">
        <f>"520"</f>
        <v>520</v>
      </c>
      <c r="G6310">
        <v>1</v>
      </c>
      <c r="H6310">
        <v>2023</v>
      </c>
      <c r="I6310" t="s">
        <v>6425</v>
      </c>
    </row>
    <row r="6311" spans="1:9" x14ac:dyDescent="0.3">
      <c r="A6311" t="s">
        <v>10146</v>
      </c>
      <c r="B6311" t="s">
        <v>61</v>
      </c>
      <c r="C6311">
        <v>8989697390</v>
      </c>
      <c r="D6311" s="2">
        <v>1</v>
      </c>
      <c r="E6311" t="str">
        <f>"4574674200833333"</f>
        <v>4574674200833333</v>
      </c>
      <c r="F6311" t="str">
        <f>"817"</f>
        <v>817</v>
      </c>
      <c r="G6311">
        <v>1</v>
      </c>
      <c r="H6311">
        <v>2023</v>
      </c>
      <c r="I6311" t="s">
        <v>6426</v>
      </c>
    </row>
    <row r="6312" spans="1:9" x14ac:dyDescent="0.3">
      <c r="A6312" t="s">
        <v>10146</v>
      </c>
      <c r="B6312" t="s">
        <v>61</v>
      </c>
      <c r="C6312">
        <v>8989697390</v>
      </c>
      <c r="D6312" s="2">
        <v>1</v>
      </c>
      <c r="E6312" t="str">
        <f>"4574674200833119"</f>
        <v>4574674200833119</v>
      </c>
      <c r="F6312" t="str">
        <f>"139"</f>
        <v>139</v>
      </c>
      <c r="G6312">
        <v>1</v>
      </c>
      <c r="H6312">
        <v>2023</v>
      </c>
      <c r="I6312" t="s">
        <v>6427</v>
      </c>
    </row>
    <row r="6313" spans="1:9" x14ac:dyDescent="0.3">
      <c r="A6313" t="s">
        <v>10146</v>
      </c>
      <c r="B6313" t="s">
        <v>61</v>
      </c>
      <c r="C6313">
        <v>8989697390</v>
      </c>
      <c r="D6313" s="2">
        <v>1</v>
      </c>
      <c r="E6313" t="str">
        <f>"4574674200833127"</f>
        <v>4574674200833127</v>
      </c>
      <c r="F6313" t="str">
        <f>"899"</f>
        <v>899</v>
      </c>
      <c r="G6313">
        <v>1</v>
      </c>
      <c r="H6313">
        <v>2023</v>
      </c>
      <c r="I6313" t="s">
        <v>6428</v>
      </c>
    </row>
    <row r="6314" spans="1:9" x14ac:dyDescent="0.3">
      <c r="A6314" t="s">
        <v>10146</v>
      </c>
      <c r="B6314" t="s">
        <v>61</v>
      </c>
      <c r="C6314">
        <v>8989697390</v>
      </c>
      <c r="D6314" s="2">
        <v>1</v>
      </c>
      <c r="E6314" t="str">
        <f>"4574674200833135"</f>
        <v>4574674200833135</v>
      </c>
      <c r="F6314" t="str">
        <f>"509"</f>
        <v>509</v>
      </c>
      <c r="G6314">
        <v>1</v>
      </c>
      <c r="H6314">
        <v>2023</v>
      </c>
      <c r="I6314" t="s">
        <v>6429</v>
      </c>
    </row>
    <row r="6315" spans="1:9" x14ac:dyDescent="0.3">
      <c r="A6315" t="s">
        <v>10146</v>
      </c>
      <c r="B6315" t="s">
        <v>61</v>
      </c>
      <c r="C6315">
        <v>8989697390</v>
      </c>
      <c r="D6315" s="2">
        <v>1</v>
      </c>
      <c r="E6315" t="str">
        <f>"4574674200833432"</f>
        <v>4574674200833432</v>
      </c>
      <c r="F6315" t="str">
        <f>"041"</f>
        <v>041</v>
      </c>
      <c r="G6315">
        <v>1</v>
      </c>
      <c r="H6315">
        <v>2023</v>
      </c>
      <c r="I6315" t="s">
        <v>6430</v>
      </c>
    </row>
    <row r="6316" spans="1:9" x14ac:dyDescent="0.3">
      <c r="A6316" t="s">
        <v>10146</v>
      </c>
      <c r="B6316" t="s">
        <v>61</v>
      </c>
      <c r="C6316">
        <v>8989697390</v>
      </c>
      <c r="D6316" s="2">
        <v>1</v>
      </c>
      <c r="E6316" t="str">
        <f>"4574674200833457"</f>
        <v>4574674200833457</v>
      </c>
      <c r="F6316" t="str">
        <f>"845"</f>
        <v>845</v>
      </c>
      <c r="G6316">
        <v>1</v>
      </c>
      <c r="H6316">
        <v>2023</v>
      </c>
      <c r="I6316" t="s">
        <v>6431</v>
      </c>
    </row>
    <row r="6317" spans="1:9" x14ac:dyDescent="0.3">
      <c r="A6317" t="s">
        <v>10146</v>
      </c>
      <c r="B6317" t="s">
        <v>61</v>
      </c>
      <c r="C6317">
        <v>8989697390</v>
      </c>
      <c r="D6317" s="2">
        <v>1</v>
      </c>
      <c r="E6317" t="str">
        <f>"4574674200833507"</f>
        <v>4574674200833507</v>
      </c>
      <c r="F6317" t="str">
        <f>"579"</f>
        <v>579</v>
      </c>
      <c r="G6317">
        <v>1</v>
      </c>
      <c r="H6317">
        <v>2023</v>
      </c>
      <c r="I6317" t="s">
        <v>6432</v>
      </c>
    </row>
    <row r="6318" spans="1:9" x14ac:dyDescent="0.3">
      <c r="A6318" t="s">
        <v>10174</v>
      </c>
      <c r="B6318" t="s">
        <v>77</v>
      </c>
      <c r="C6318">
        <v>8989697390</v>
      </c>
      <c r="D6318" s="2">
        <v>1</v>
      </c>
      <c r="E6318" t="str">
        <f>"4574674200833614"</f>
        <v>4574674200833614</v>
      </c>
      <c r="F6318" t="str">
        <f>"346"</f>
        <v>346</v>
      </c>
      <c r="G6318">
        <v>1</v>
      </c>
      <c r="H6318">
        <v>2023</v>
      </c>
      <c r="I6318" t="s">
        <v>6433</v>
      </c>
    </row>
    <row r="6319" spans="1:9" x14ac:dyDescent="0.3">
      <c r="A6319" t="s">
        <v>10174</v>
      </c>
      <c r="B6319" t="s">
        <v>77</v>
      </c>
      <c r="C6319">
        <v>8989697390</v>
      </c>
      <c r="D6319" s="2">
        <v>1</v>
      </c>
      <c r="E6319" t="str">
        <f>"4574674200833572"</f>
        <v>4574674200833572</v>
      </c>
      <c r="F6319" t="str">
        <f>"739"</f>
        <v>739</v>
      </c>
      <c r="G6319">
        <v>1</v>
      </c>
      <c r="H6319">
        <v>2023</v>
      </c>
      <c r="I6319" t="s">
        <v>6434</v>
      </c>
    </row>
    <row r="6320" spans="1:9" x14ac:dyDescent="0.3">
      <c r="A6320" t="s">
        <v>10174</v>
      </c>
      <c r="B6320" t="s">
        <v>77</v>
      </c>
      <c r="C6320">
        <v>8989697390</v>
      </c>
      <c r="D6320" s="2">
        <v>1</v>
      </c>
      <c r="E6320" t="str">
        <f>"4574674200833622"</f>
        <v>4574674200833622</v>
      </c>
      <c r="F6320" t="str">
        <f>"085"</f>
        <v>085</v>
      </c>
      <c r="G6320">
        <v>1</v>
      </c>
      <c r="H6320">
        <v>2023</v>
      </c>
      <c r="I6320" t="s">
        <v>6435</v>
      </c>
    </row>
    <row r="6321" spans="1:9" x14ac:dyDescent="0.3">
      <c r="A6321" t="s">
        <v>10174</v>
      </c>
      <c r="B6321" t="s">
        <v>77</v>
      </c>
      <c r="C6321">
        <v>8989697390</v>
      </c>
      <c r="D6321" s="2">
        <v>1</v>
      </c>
      <c r="E6321" t="str">
        <f>"4574674200833648"</f>
        <v>4574674200833648</v>
      </c>
      <c r="F6321" t="str">
        <f>"282"</f>
        <v>282</v>
      </c>
      <c r="G6321">
        <v>1</v>
      </c>
      <c r="H6321">
        <v>2023</v>
      </c>
      <c r="I6321" t="s">
        <v>6436</v>
      </c>
    </row>
    <row r="6322" spans="1:9" x14ac:dyDescent="0.3">
      <c r="A6322" t="s">
        <v>10174</v>
      </c>
      <c r="B6322" t="s">
        <v>77</v>
      </c>
      <c r="C6322">
        <v>8989697390</v>
      </c>
      <c r="D6322" s="2">
        <v>1</v>
      </c>
      <c r="E6322" t="str">
        <f>"4574674200833853"</f>
        <v>4574674200833853</v>
      </c>
      <c r="F6322" t="str">
        <f>"371"</f>
        <v>371</v>
      </c>
      <c r="G6322">
        <v>1</v>
      </c>
      <c r="H6322">
        <v>2023</v>
      </c>
      <c r="I6322" t="s">
        <v>6437</v>
      </c>
    </row>
    <row r="6323" spans="1:9" x14ac:dyDescent="0.3">
      <c r="A6323" t="s">
        <v>10174</v>
      </c>
      <c r="B6323" t="s">
        <v>77</v>
      </c>
      <c r="C6323">
        <v>8989697390</v>
      </c>
      <c r="D6323" s="2">
        <v>1</v>
      </c>
      <c r="E6323" t="str">
        <f>"4574674200833689"</f>
        <v>4574674200833689</v>
      </c>
      <c r="F6323" t="str">
        <f>"704"</f>
        <v>704</v>
      </c>
      <c r="G6323">
        <v>1</v>
      </c>
      <c r="H6323">
        <v>2023</v>
      </c>
      <c r="I6323" t="s">
        <v>6438</v>
      </c>
    </row>
    <row r="6324" spans="1:9" x14ac:dyDescent="0.3">
      <c r="A6324" t="s">
        <v>10174</v>
      </c>
      <c r="B6324" t="s">
        <v>77</v>
      </c>
      <c r="C6324">
        <v>8989697390</v>
      </c>
      <c r="D6324" s="2">
        <v>1</v>
      </c>
      <c r="E6324" t="str">
        <f>"4574674200833903"</f>
        <v>4574674200833903</v>
      </c>
      <c r="F6324" t="str">
        <f>"718"</f>
        <v>718</v>
      </c>
      <c r="G6324">
        <v>1</v>
      </c>
      <c r="H6324">
        <v>2023</v>
      </c>
      <c r="I6324" t="s">
        <v>6439</v>
      </c>
    </row>
    <row r="6325" spans="1:9" x14ac:dyDescent="0.3">
      <c r="A6325" t="s">
        <v>10174</v>
      </c>
      <c r="B6325" t="s">
        <v>77</v>
      </c>
      <c r="C6325">
        <v>8989697390</v>
      </c>
      <c r="D6325" s="2">
        <v>1</v>
      </c>
      <c r="E6325" t="str">
        <f>"4574674200833929"</f>
        <v>4574674200833929</v>
      </c>
      <c r="F6325" t="str">
        <f>"753"</f>
        <v>753</v>
      </c>
      <c r="G6325">
        <v>1</v>
      </c>
      <c r="H6325">
        <v>2023</v>
      </c>
      <c r="I6325" t="s">
        <v>6440</v>
      </c>
    </row>
    <row r="6326" spans="1:9" x14ac:dyDescent="0.3">
      <c r="A6326" t="s">
        <v>10174</v>
      </c>
      <c r="B6326" t="s">
        <v>77</v>
      </c>
      <c r="C6326">
        <v>8989697390</v>
      </c>
      <c r="D6326" s="2">
        <v>1</v>
      </c>
      <c r="E6326" t="str">
        <f>"4574674200833986"</f>
        <v>4574674200833986</v>
      </c>
      <c r="F6326" t="str">
        <f>"463"</f>
        <v>463</v>
      </c>
      <c r="G6326">
        <v>1</v>
      </c>
      <c r="H6326">
        <v>2023</v>
      </c>
      <c r="I6326" t="s">
        <v>6441</v>
      </c>
    </row>
    <row r="6327" spans="1:9" x14ac:dyDescent="0.3">
      <c r="A6327" t="s">
        <v>10174</v>
      </c>
      <c r="B6327" t="s">
        <v>77</v>
      </c>
      <c r="C6327">
        <v>8989697390</v>
      </c>
      <c r="D6327" s="2">
        <v>1</v>
      </c>
      <c r="E6327" t="str">
        <f>"4574674200833762"</f>
        <v>4574674200833762</v>
      </c>
      <c r="F6327" t="str">
        <f>"526"</f>
        <v>526</v>
      </c>
      <c r="G6327">
        <v>1</v>
      </c>
      <c r="H6327">
        <v>2023</v>
      </c>
      <c r="I6327" t="s">
        <v>6442</v>
      </c>
    </row>
    <row r="6328" spans="1:9" x14ac:dyDescent="0.3">
      <c r="A6328" t="s">
        <v>10163</v>
      </c>
      <c r="B6328" t="s">
        <v>57</v>
      </c>
      <c r="C6328">
        <v>8989697390</v>
      </c>
      <c r="D6328" s="2">
        <v>1</v>
      </c>
      <c r="E6328" t="str">
        <f>"4574674200833739"</f>
        <v>4574674200833739</v>
      </c>
      <c r="F6328" t="str">
        <f>"365"</f>
        <v>365</v>
      </c>
      <c r="G6328">
        <v>1</v>
      </c>
      <c r="H6328">
        <v>2023</v>
      </c>
      <c r="I6328" t="s">
        <v>6443</v>
      </c>
    </row>
    <row r="6329" spans="1:9" x14ac:dyDescent="0.3">
      <c r="A6329" t="s">
        <v>10163</v>
      </c>
      <c r="B6329" t="s">
        <v>57</v>
      </c>
      <c r="C6329">
        <v>8989697390</v>
      </c>
      <c r="D6329" s="2">
        <v>1</v>
      </c>
      <c r="E6329" t="str">
        <f>"4574674200833747"</f>
        <v>4574674200833747</v>
      </c>
      <c r="F6329" t="str">
        <f>"130"</f>
        <v>130</v>
      </c>
      <c r="G6329">
        <v>1</v>
      </c>
      <c r="H6329">
        <v>2023</v>
      </c>
      <c r="I6329" t="s">
        <v>6444</v>
      </c>
    </row>
    <row r="6330" spans="1:9" x14ac:dyDescent="0.3">
      <c r="A6330" t="s">
        <v>10163</v>
      </c>
      <c r="B6330" t="s">
        <v>57</v>
      </c>
      <c r="C6330">
        <v>8989697390</v>
      </c>
      <c r="D6330" s="2">
        <v>1</v>
      </c>
      <c r="E6330" t="str">
        <f>"4574674200834067"</f>
        <v>4574674200834067</v>
      </c>
      <c r="F6330" t="str">
        <f>"550"</f>
        <v>550</v>
      </c>
      <c r="G6330">
        <v>1</v>
      </c>
      <c r="H6330">
        <v>2023</v>
      </c>
      <c r="I6330" t="s">
        <v>6445</v>
      </c>
    </row>
    <row r="6331" spans="1:9" x14ac:dyDescent="0.3">
      <c r="A6331" t="s">
        <v>10163</v>
      </c>
      <c r="B6331" t="s">
        <v>57</v>
      </c>
      <c r="C6331">
        <v>8989697390</v>
      </c>
      <c r="D6331" s="2">
        <v>1</v>
      </c>
      <c r="E6331" t="str">
        <f>"4574674200833796"</f>
        <v>4574674200833796</v>
      </c>
      <c r="F6331" t="str">
        <f>"990"</f>
        <v>990</v>
      </c>
      <c r="G6331">
        <v>1</v>
      </c>
      <c r="H6331">
        <v>2023</v>
      </c>
      <c r="I6331" t="s">
        <v>6446</v>
      </c>
    </row>
    <row r="6332" spans="1:9" x14ac:dyDescent="0.3">
      <c r="A6332" t="s">
        <v>10163</v>
      </c>
      <c r="B6332" t="s">
        <v>57</v>
      </c>
      <c r="C6332">
        <v>8989697390</v>
      </c>
      <c r="D6332" s="2">
        <v>1</v>
      </c>
      <c r="E6332" t="str">
        <f>"4574674200834091"</f>
        <v>4574674200834091</v>
      </c>
      <c r="F6332" t="str">
        <f>"495"</f>
        <v>495</v>
      </c>
      <c r="G6332">
        <v>1</v>
      </c>
      <c r="H6332">
        <v>2023</v>
      </c>
      <c r="I6332" t="s">
        <v>6447</v>
      </c>
    </row>
    <row r="6333" spans="1:9" x14ac:dyDescent="0.3">
      <c r="A6333" t="s">
        <v>10163</v>
      </c>
      <c r="B6333" t="s">
        <v>57</v>
      </c>
      <c r="C6333">
        <v>8989697390</v>
      </c>
      <c r="D6333" s="2">
        <v>1</v>
      </c>
      <c r="E6333" t="str">
        <f>"4574674200834166"</f>
        <v>4574674200834166</v>
      </c>
      <c r="F6333" t="str">
        <f>"792"</f>
        <v>792</v>
      </c>
      <c r="G6333">
        <v>1</v>
      </c>
      <c r="H6333">
        <v>2023</v>
      </c>
      <c r="I6333" t="s">
        <v>6448</v>
      </c>
    </row>
    <row r="6334" spans="1:9" x14ac:dyDescent="0.3">
      <c r="A6334" t="s">
        <v>10163</v>
      </c>
      <c r="B6334" t="s">
        <v>57</v>
      </c>
      <c r="C6334">
        <v>8989697390</v>
      </c>
      <c r="D6334" s="2">
        <v>1</v>
      </c>
      <c r="E6334" t="str">
        <f>"4574674200834265"</f>
        <v>4574674200834265</v>
      </c>
      <c r="F6334" t="str">
        <f>"394"</f>
        <v>394</v>
      </c>
      <c r="G6334">
        <v>1</v>
      </c>
      <c r="H6334">
        <v>2023</v>
      </c>
      <c r="I6334" t="s">
        <v>6449</v>
      </c>
    </row>
    <row r="6335" spans="1:9" x14ac:dyDescent="0.3">
      <c r="A6335" t="s">
        <v>10163</v>
      </c>
      <c r="B6335" t="s">
        <v>57</v>
      </c>
      <c r="C6335">
        <v>8989697390</v>
      </c>
      <c r="D6335" s="2">
        <v>1</v>
      </c>
      <c r="E6335" t="str">
        <f>"4574674200834273"</f>
        <v>4574674200834273</v>
      </c>
      <c r="F6335" t="str">
        <f>"301"</f>
        <v>301</v>
      </c>
      <c r="G6335">
        <v>1</v>
      </c>
      <c r="H6335">
        <v>2023</v>
      </c>
      <c r="I6335" t="s">
        <v>6450</v>
      </c>
    </row>
    <row r="6336" spans="1:9" x14ac:dyDescent="0.3">
      <c r="A6336" t="s">
        <v>10163</v>
      </c>
      <c r="B6336" t="s">
        <v>57</v>
      </c>
      <c r="C6336">
        <v>8989697390</v>
      </c>
      <c r="D6336" s="2">
        <v>1</v>
      </c>
      <c r="E6336" t="str">
        <f>"4574674200834257"</f>
        <v>4574674200834257</v>
      </c>
      <c r="F6336" t="str">
        <f>"909"</f>
        <v>909</v>
      </c>
      <c r="G6336">
        <v>1</v>
      </c>
      <c r="H6336">
        <v>2023</v>
      </c>
      <c r="I6336" t="s">
        <v>6451</v>
      </c>
    </row>
    <row r="6337" spans="1:9" x14ac:dyDescent="0.3">
      <c r="A6337" t="s">
        <v>10163</v>
      </c>
      <c r="B6337" t="s">
        <v>57</v>
      </c>
      <c r="C6337">
        <v>8989697390</v>
      </c>
      <c r="D6337" s="2">
        <v>1</v>
      </c>
      <c r="E6337" t="str">
        <f>"4574674200834422"</f>
        <v>4574674200834422</v>
      </c>
      <c r="F6337" t="str">
        <f>"850"</f>
        <v>850</v>
      </c>
      <c r="G6337">
        <v>1</v>
      </c>
      <c r="H6337">
        <v>2023</v>
      </c>
      <c r="I6337" t="s">
        <v>6452</v>
      </c>
    </row>
    <row r="6338" spans="1:9" x14ac:dyDescent="0.3">
      <c r="A6338" t="s">
        <v>10173</v>
      </c>
      <c r="B6338" t="s">
        <v>76</v>
      </c>
      <c r="C6338">
        <v>8989697390</v>
      </c>
      <c r="D6338" s="2">
        <v>1</v>
      </c>
      <c r="E6338" t="str">
        <f>"4574674200834455"</f>
        <v>4574674200834455</v>
      </c>
      <c r="F6338" t="str">
        <f>"531"</f>
        <v>531</v>
      </c>
      <c r="G6338">
        <v>1</v>
      </c>
      <c r="H6338">
        <v>2023</v>
      </c>
      <c r="I6338" t="s">
        <v>6453</v>
      </c>
    </row>
    <row r="6339" spans="1:9" x14ac:dyDescent="0.3">
      <c r="A6339" t="s">
        <v>10173</v>
      </c>
      <c r="B6339" t="s">
        <v>76</v>
      </c>
      <c r="C6339">
        <v>8989697390</v>
      </c>
      <c r="D6339" s="2">
        <v>1</v>
      </c>
      <c r="E6339" t="str">
        <f>"4574674200834521"</f>
        <v>4574674200834521</v>
      </c>
      <c r="F6339" t="str">
        <f>"161"</f>
        <v>161</v>
      </c>
      <c r="G6339">
        <v>1</v>
      </c>
      <c r="H6339">
        <v>2023</v>
      </c>
      <c r="I6339" t="s">
        <v>6454</v>
      </c>
    </row>
    <row r="6340" spans="1:9" x14ac:dyDescent="0.3">
      <c r="A6340" t="s">
        <v>10173</v>
      </c>
      <c r="B6340" t="s">
        <v>76</v>
      </c>
      <c r="C6340">
        <v>8989697390</v>
      </c>
      <c r="D6340" s="2">
        <v>1</v>
      </c>
      <c r="E6340" t="str">
        <f>"4574674200834299"</f>
        <v>4574674200834299</v>
      </c>
      <c r="F6340" t="str">
        <f>"885"</f>
        <v>885</v>
      </c>
      <c r="G6340">
        <v>1</v>
      </c>
      <c r="H6340">
        <v>2023</v>
      </c>
      <c r="I6340" t="s">
        <v>6455</v>
      </c>
    </row>
    <row r="6341" spans="1:9" x14ac:dyDescent="0.3">
      <c r="A6341" t="s">
        <v>10173</v>
      </c>
      <c r="B6341" t="s">
        <v>76</v>
      </c>
      <c r="C6341">
        <v>8989697390</v>
      </c>
      <c r="D6341" s="2">
        <v>1</v>
      </c>
      <c r="E6341" t="str">
        <f>"4574674200834596"</f>
        <v>4574674200834596</v>
      </c>
      <c r="F6341" t="str">
        <f>"248"</f>
        <v>248</v>
      </c>
      <c r="G6341">
        <v>1</v>
      </c>
      <c r="H6341">
        <v>2023</v>
      </c>
      <c r="I6341" t="s">
        <v>6456</v>
      </c>
    </row>
    <row r="6342" spans="1:9" x14ac:dyDescent="0.3">
      <c r="A6342" t="s">
        <v>10173</v>
      </c>
      <c r="B6342" t="s">
        <v>76</v>
      </c>
      <c r="C6342">
        <v>8989697390</v>
      </c>
      <c r="D6342" s="2">
        <v>1</v>
      </c>
      <c r="E6342" t="str">
        <f>"4574674200834653"</f>
        <v>4574674200834653</v>
      </c>
      <c r="F6342" t="str">
        <f>"494"</f>
        <v>494</v>
      </c>
      <c r="G6342">
        <v>1</v>
      </c>
      <c r="H6342">
        <v>2023</v>
      </c>
      <c r="I6342" t="s">
        <v>6457</v>
      </c>
    </row>
    <row r="6343" spans="1:9" x14ac:dyDescent="0.3">
      <c r="A6343" t="s">
        <v>10173</v>
      </c>
      <c r="B6343" t="s">
        <v>76</v>
      </c>
      <c r="C6343">
        <v>8989697390</v>
      </c>
      <c r="D6343" s="2">
        <v>1</v>
      </c>
      <c r="E6343" t="str">
        <f>"4574674200834398"</f>
        <v>4574674200834398</v>
      </c>
      <c r="F6343" t="str">
        <f>"133"</f>
        <v>133</v>
      </c>
      <c r="G6343">
        <v>1</v>
      </c>
      <c r="H6343">
        <v>2023</v>
      </c>
      <c r="I6343" t="s">
        <v>6458</v>
      </c>
    </row>
    <row r="6344" spans="1:9" x14ac:dyDescent="0.3">
      <c r="A6344" t="s">
        <v>10173</v>
      </c>
      <c r="B6344" t="s">
        <v>76</v>
      </c>
      <c r="C6344">
        <v>8989697390</v>
      </c>
      <c r="D6344" s="2">
        <v>1</v>
      </c>
      <c r="E6344" t="str">
        <f>"4574674200834380"</f>
        <v>4574674200834380</v>
      </c>
      <c r="F6344" t="str">
        <f>"377"</f>
        <v>377</v>
      </c>
      <c r="G6344">
        <v>1</v>
      </c>
      <c r="H6344">
        <v>2023</v>
      </c>
      <c r="I6344" t="s">
        <v>6459</v>
      </c>
    </row>
    <row r="6345" spans="1:9" x14ac:dyDescent="0.3">
      <c r="A6345" t="s">
        <v>10173</v>
      </c>
      <c r="B6345" t="s">
        <v>76</v>
      </c>
      <c r="C6345">
        <v>8989697390</v>
      </c>
      <c r="D6345" s="2">
        <v>1</v>
      </c>
      <c r="E6345" t="str">
        <f>"4574674200834687"</f>
        <v>4574674200834687</v>
      </c>
      <c r="F6345" t="str">
        <f>"525"</f>
        <v>525</v>
      </c>
      <c r="G6345">
        <v>1</v>
      </c>
      <c r="H6345">
        <v>2023</v>
      </c>
      <c r="I6345" t="s">
        <v>6460</v>
      </c>
    </row>
    <row r="6346" spans="1:9" x14ac:dyDescent="0.3">
      <c r="A6346" t="s">
        <v>10173</v>
      </c>
      <c r="B6346" t="s">
        <v>76</v>
      </c>
      <c r="C6346">
        <v>8989697390</v>
      </c>
      <c r="D6346" s="2">
        <v>1</v>
      </c>
      <c r="E6346" t="str">
        <f>"4574674200834802"</f>
        <v>4574674200834802</v>
      </c>
      <c r="F6346" t="str">
        <f>"214"</f>
        <v>214</v>
      </c>
      <c r="G6346">
        <v>1</v>
      </c>
      <c r="H6346">
        <v>2023</v>
      </c>
      <c r="I6346" t="s">
        <v>6461</v>
      </c>
    </row>
    <row r="6347" spans="1:9" x14ac:dyDescent="0.3">
      <c r="A6347" t="s">
        <v>10173</v>
      </c>
      <c r="B6347" t="s">
        <v>76</v>
      </c>
      <c r="C6347">
        <v>8989697390</v>
      </c>
      <c r="D6347" s="2">
        <v>1</v>
      </c>
      <c r="E6347" t="str">
        <f>"4574674200834828"</f>
        <v>4574674200834828</v>
      </c>
      <c r="F6347" t="str">
        <f>"042"</f>
        <v>042</v>
      </c>
      <c r="G6347">
        <v>1</v>
      </c>
      <c r="H6347">
        <v>2023</v>
      </c>
      <c r="I6347" t="s">
        <v>6462</v>
      </c>
    </row>
    <row r="6348" spans="1:9" x14ac:dyDescent="0.3">
      <c r="A6348" t="s">
        <v>10175</v>
      </c>
      <c r="B6348" t="s">
        <v>78</v>
      </c>
      <c r="C6348">
        <v>8989697390</v>
      </c>
      <c r="D6348" s="2">
        <v>1</v>
      </c>
      <c r="E6348" t="str">
        <f>"4574674200834752"</f>
        <v>4574674200834752</v>
      </c>
      <c r="F6348" t="str">
        <f>"725"</f>
        <v>725</v>
      </c>
      <c r="G6348">
        <v>1</v>
      </c>
      <c r="H6348">
        <v>2023</v>
      </c>
      <c r="I6348" t="s">
        <v>6463</v>
      </c>
    </row>
    <row r="6349" spans="1:9" x14ac:dyDescent="0.3">
      <c r="A6349" t="s">
        <v>10175</v>
      </c>
      <c r="B6349" t="s">
        <v>78</v>
      </c>
      <c r="C6349">
        <v>8989697390</v>
      </c>
      <c r="D6349" s="2">
        <v>1</v>
      </c>
      <c r="E6349" t="str">
        <f>"4574674200834760"</f>
        <v>4574674200834760</v>
      </c>
      <c r="F6349" t="str">
        <f>"786"</f>
        <v>786</v>
      </c>
      <c r="G6349">
        <v>1</v>
      </c>
      <c r="H6349">
        <v>2023</v>
      </c>
      <c r="I6349" t="s">
        <v>6464</v>
      </c>
    </row>
    <row r="6350" spans="1:9" x14ac:dyDescent="0.3">
      <c r="A6350" t="s">
        <v>10175</v>
      </c>
      <c r="B6350" t="s">
        <v>78</v>
      </c>
      <c r="C6350">
        <v>8989697390</v>
      </c>
      <c r="D6350" s="2">
        <v>1</v>
      </c>
      <c r="E6350" t="str">
        <f>"4574674200835056"</f>
        <v>4574674200835056</v>
      </c>
      <c r="F6350" t="str">
        <f>"555"</f>
        <v>555</v>
      </c>
      <c r="G6350">
        <v>1</v>
      </c>
      <c r="H6350">
        <v>2023</v>
      </c>
      <c r="I6350" t="s">
        <v>6465</v>
      </c>
    </row>
    <row r="6351" spans="1:9" x14ac:dyDescent="0.3">
      <c r="A6351" t="s">
        <v>10175</v>
      </c>
      <c r="B6351" t="s">
        <v>78</v>
      </c>
      <c r="C6351">
        <v>8989697390</v>
      </c>
      <c r="D6351" s="2">
        <v>1</v>
      </c>
      <c r="E6351" t="str">
        <f>"4574674200834893"</f>
        <v>4574674200834893</v>
      </c>
      <c r="F6351" t="str">
        <f>"682"</f>
        <v>682</v>
      </c>
      <c r="G6351">
        <v>1</v>
      </c>
      <c r="H6351">
        <v>2023</v>
      </c>
      <c r="I6351" t="s">
        <v>6466</v>
      </c>
    </row>
    <row r="6352" spans="1:9" x14ac:dyDescent="0.3">
      <c r="A6352" t="s">
        <v>10175</v>
      </c>
      <c r="B6352" t="s">
        <v>78</v>
      </c>
      <c r="C6352">
        <v>8989697390</v>
      </c>
      <c r="D6352" s="2">
        <v>1</v>
      </c>
      <c r="E6352" t="str">
        <f>"4574674200834919"</f>
        <v>4574674200834919</v>
      </c>
      <c r="F6352" t="str">
        <f>"990"</f>
        <v>990</v>
      </c>
      <c r="G6352">
        <v>1</v>
      </c>
      <c r="H6352">
        <v>2023</v>
      </c>
      <c r="I6352" t="s">
        <v>6467</v>
      </c>
    </row>
    <row r="6353" spans="1:9" x14ac:dyDescent="0.3">
      <c r="A6353" t="s">
        <v>10175</v>
      </c>
      <c r="B6353" t="s">
        <v>78</v>
      </c>
      <c r="C6353">
        <v>8989697390</v>
      </c>
      <c r="D6353" s="2">
        <v>1</v>
      </c>
      <c r="E6353" t="str">
        <f>"4574674200834927"</f>
        <v>4574674200834927</v>
      </c>
      <c r="F6353" t="str">
        <f>"741"</f>
        <v>741</v>
      </c>
      <c r="G6353">
        <v>1</v>
      </c>
      <c r="H6353">
        <v>2023</v>
      </c>
      <c r="I6353" t="s">
        <v>6468</v>
      </c>
    </row>
    <row r="6354" spans="1:9" x14ac:dyDescent="0.3">
      <c r="A6354" t="s">
        <v>10175</v>
      </c>
      <c r="B6354" t="s">
        <v>78</v>
      </c>
      <c r="C6354">
        <v>8989697390</v>
      </c>
      <c r="D6354" s="2">
        <v>1</v>
      </c>
      <c r="E6354" t="str">
        <f>"4574674200835098"</f>
        <v>4574674200835098</v>
      </c>
      <c r="F6354" t="str">
        <f>"275"</f>
        <v>275</v>
      </c>
      <c r="G6354">
        <v>1</v>
      </c>
      <c r="H6354">
        <v>2023</v>
      </c>
      <c r="I6354" t="s">
        <v>6469</v>
      </c>
    </row>
    <row r="6355" spans="1:9" x14ac:dyDescent="0.3">
      <c r="A6355" t="s">
        <v>10175</v>
      </c>
      <c r="B6355" t="s">
        <v>78</v>
      </c>
      <c r="C6355">
        <v>8989697390</v>
      </c>
      <c r="D6355" s="2">
        <v>1</v>
      </c>
      <c r="E6355" t="str">
        <f>"4574674200835114"</f>
        <v>4574674200835114</v>
      </c>
      <c r="F6355" t="str">
        <f>"603"</f>
        <v>603</v>
      </c>
      <c r="G6355">
        <v>1</v>
      </c>
      <c r="H6355">
        <v>2023</v>
      </c>
      <c r="I6355" t="s">
        <v>6470</v>
      </c>
    </row>
    <row r="6356" spans="1:9" x14ac:dyDescent="0.3">
      <c r="A6356" t="s">
        <v>10175</v>
      </c>
      <c r="B6356" t="s">
        <v>78</v>
      </c>
      <c r="C6356">
        <v>8989697390</v>
      </c>
      <c r="D6356" s="2">
        <v>1</v>
      </c>
      <c r="E6356" t="str">
        <f>"4574674200834935"</f>
        <v>4574674200834935</v>
      </c>
      <c r="F6356" t="str">
        <f>"856"</f>
        <v>856</v>
      </c>
      <c r="G6356">
        <v>1</v>
      </c>
      <c r="H6356">
        <v>2023</v>
      </c>
      <c r="I6356" t="s">
        <v>6471</v>
      </c>
    </row>
    <row r="6357" spans="1:9" x14ac:dyDescent="0.3">
      <c r="A6357" t="s">
        <v>10175</v>
      </c>
      <c r="B6357" t="s">
        <v>78</v>
      </c>
      <c r="C6357">
        <v>8989697390</v>
      </c>
      <c r="D6357" s="2">
        <v>1</v>
      </c>
      <c r="E6357" t="str">
        <f>"4574674200835239"</f>
        <v>4574674200835239</v>
      </c>
      <c r="F6357" t="str">
        <f>"226"</f>
        <v>226</v>
      </c>
      <c r="G6357">
        <v>1</v>
      </c>
      <c r="H6357">
        <v>2023</v>
      </c>
      <c r="I6357" t="s">
        <v>6472</v>
      </c>
    </row>
    <row r="6358" spans="1:9" x14ac:dyDescent="0.3">
      <c r="A6358" t="s">
        <v>10168</v>
      </c>
      <c r="B6358" t="s">
        <v>69</v>
      </c>
      <c r="C6358">
        <v>8989697390</v>
      </c>
      <c r="D6358" s="2">
        <v>1</v>
      </c>
      <c r="E6358" t="str">
        <f>"4574674200835403"</f>
        <v>4574674200835403</v>
      </c>
      <c r="F6358" t="str">
        <f>"615"</f>
        <v>615</v>
      </c>
      <c r="G6358">
        <v>1</v>
      </c>
      <c r="H6358">
        <v>2023</v>
      </c>
      <c r="I6358" t="s">
        <v>6473</v>
      </c>
    </row>
    <row r="6359" spans="1:9" x14ac:dyDescent="0.3">
      <c r="A6359" t="s">
        <v>10168</v>
      </c>
      <c r="B6359" t="s">
        <v>69</v>
      </c>
      <c r="C6359">
        <v>8989697390</v>
      </c>
      <c r="D6359" s="2">
        <v>1</v>
      </c>
      <c r="E6359" t="str">
        <f>"4574674200835247"</f>
        <v>4574674200835247</v>
      </c>
      <c r="F6359" t="str">
        <f>"647"</f>
        <v>647</v>
      </c>
      <c r="G6359">
        <v>1</v>
      </c>
      <c r="H6359">
        <v>2023</v>
      </c>
      <c r="I6359" t="s">
        <v>6474</v>
      </c>
    </row>
    <row r="6360" spans="1:9" x14ac:dyDescent="0.3">
      <c r="A6360" t="s">
        <v>10168</v>
      </c>
      <c r="B6360" t="s">
        <v>69</v>
      </c>
      <c r="C6360">
        <v>8989697390</v>
      </c>
      <c r="D6360" s="2">
        <v>1</v>
      </c>
      <c r="E6360" t="str">
        <f>"4574674200835270"</f>
        <v>4574674200835270</v>
      </c>
      <c r="F6360" t="str">
        <f>"194"</f>
        <v>194</v>
      </c>
      <c r="G6360">
        <v>1</v>
      </c>
      <c r="H6360">
        <v>2023</v>
      </c>
      <c r="I6360" t="s">
        <v>6475</v>
      </c>
    </row>
    <row r="6361" spans="1:9" x14ac:dyDescent="0.3">
      <c r="A6361" t="s">
        <v>10168</v>
      </c>
      <c r="B6361" t="s">
        <v>69</v>
      </c>
      <c r="C6361">
        <v>8989697390</v>
      </c>
      <c r="D6361" s="2">
        <v>1</v>
      </c>
      <c r="E6361" t="str">
        <f>"4574674200835445"</f>
        <v>4574674200835445</v>
      </c>
      <c r="F6361" t="str">
        <f>"028"</f>
        <v>028</v>
      </c>
      <c r="G6361">
        <v>1</v>
      </c>
      <c r="H6361">
        <v>2023</v>
      </c>
      <c r="I6361" t="s">
        <v>6476</v>
      </c>
    </row>
    <row r="6362" spans="1:9" x14ac:dyDescent="0.3">
      <c r="A6362" t="s">
        <v>10168</v>
      </c>
      <c r="B6362" t="s">
        <v>69</v>
      </c>
      <c r="C6362">
        <v>8989697390</v>
      </c>
      <c r="D6362" s="2">
        <v>1</v>
      </c>
      <c r="E6362" t="str">
        <f>"4574674200835437"</f>
        <v>4574674200835437</v>
      </c>
      <c r="F6362" t="str">
        <f>"032"</f>
        <v>032</v>
      </c>
      <c r="G6362">
        <v>1</v>
      </c>
      <c r="H6362">
        <v>2023</v>
      </c>
      <c r="I6362" t="s">
        <v>6477</v>
      </c>
    </row>
    <row r="6363" spans="1:9" x14ac:dyDescent="0.3">
      <c r="A6363" t="s">
        <v>10168</v>
      </c>
      <c r="B6363" t="s">
        <v>69</v>
      </c>
      <c r="C6363">
        <v>8989697390</v>
      </c>
      <c r="D6363" s="2">
        <v>1</v>
      </c>
      <c r="E6363" t="str">
        <f>"4574674200835452"</f>
        <v>4574674200835452</v>
      </c>
      <c r="F6363" t="str">
        <f>"927"</f>
        <v>927</v>
      </c>
      <c r="G6363">
        <v>1</v>
      </c>
      <c r="H6363">
        <v>2023</v>
      </c>
      <c r="I6363" t="s">
        <v>6478</v>
      </c>
    </row>
    <row r="6364" spans="1:9" x14ac:dyDescent="0.3">
      <c r="A6364" t="s">
        <v>10168</v>
      </c>
      <c r="B6364" t="s">
        <v>69</v>
      </c>
      <c r="C6364">
        <v>8989697390</v>
      </c>
      <c r="D6364" s="2">
        <v>1</v>
      </c>
      <c r="E6364" t="str">
        <f>"4574674200835395"</f>
        <v>4574674200835395</v>
      </c>
      <c r="F6364" t="str">
        <f>"803"</f>
        <v>803</v>
      </c>
      <c r="G6364">
        <v>1</v>
      </c>
      <c r="H6364">
        <v>2023</v>
      </c>
      <c r="I6364" t="s">
        <v>6479</v>
      </c>
    </row>
    <row r="6365" spans="1:9" x14ac:dyDescent="0.3">
      <c r="A6365" t="s">
        <v>10168</v>
      </c>
      <c r="B6365" t="s">
        <v>69</v>
      </c>
      <c r="C6365">
        <v>8989697390</v>
      </c>
      <c r="D6365" s="2">
        <v>1</v>
      </c>
      <c r="E6365" t="str">
        <f>"4574674200835601"</f>
        <v>4574674200835601</v>
      </c>
      <c r="F6365" t="str">
        <f>"142"</f>
        <v>142</v>
      </c>
      <c r="G6365">
        <v>1</v>
      </c>
      <c r="H6365">
        <v>2023</v>
      </c>
      <c r="I6365" t="s">
        <v>6480</v>
      </c>
    </row>
    <row r="6366" spans="1:9" x14ac:dyDescent="0.3">
      <c r="A6366" t="s">
        <v>10168</v>
      </c>
      <c r="B6366" t="s">
        <v>69</v>
      </c>
      <c r="C6366">
        <v>8989697390</v>
      </c>
      <c r="D6366" s="2">
        <v>1</v>
      </c>
      <c r="E6366" t="str">
        <f>"4574674200835619"</f>
        <v>4574674200835619</v>
      </c>
      <c r="F6366" t="str">
        <f>"916"</f>
        <v>916</v>
      </c>
      <c r="G6366">
        <v>1</v>
      </c>
      <c r="H6366">
        <v>2023</v>
      </c>
      <c r="I6366" t="s">
        <v>6481</v>
      </c>
    </row>
    <row r="6367" spans="1:9" x14ac:dyDescent="0.3">
      <c r="A6367" t="s">
        <v>10168</v>
      </c>
      <c r="B6367" t="s">
        <v>69</v>
      </c>
      <c r="C6367">
        <v>8989697390</v>
      </c>
      <c r="D6367" s="2">
        <v>1</v>
      </c>
      <c r="E6367" t="str">
        <f>"4574674200835528"</f>
        <v>4574674200835528</v>
      </c>
      <c r="F6367" t="str">
        <f>"807"</f>
        <v>807</v>
      </c>
      <c r="G6367">
        <v>1</v>
      </c>
      <c r="H6367">
        <v>2023</v>
      </c>
      <c r="I6367" t="s">
        <v>6482</v>
      </c>
    </row>
    <row r="6368" spans="1:9" x14ac:dyDescent="0.3">
      <c r="A6368" t="s">
        <v>10124</v>
      </c>
      <c r="B6368" t="s">
        <v>79</v>
      </c>
      <c r="C6368">
        <v>8989697390</v>
      </c>
      <c r="D6368" s="2">
        <v>1</v>
      </c>
      <c r="E6368" t="str">
        <f>"4574674200835544"</f>
        <v>4574674200835544</v>
      </c>
      <c r="F6368" t="str">
        <f>"438"</f>
        <v>438</v>
      </c>
      <c r="G6368">
        <v>1</v>
      </c>
      <c r="H6368">
        <v>2023</v>
      </c>
      <c r="I6368" t="s">
        <v>6483</v>
      </c>
    </row>
    <row r="6369" spans="1:9" x14ac:dyDescent="0.3">
      <c r="A6369" t="s">
        <v>10124</v>
      </c>
      <c r="B6369" t="s">
        <v>79</v>
      </c>
      <c r="C6369">
        <v>8989697390</v>
      </c>
      <c r="D6369" s="2">
        <v>1</v>
      </c>
      <c r="E6369" t="str">
        <f>"4574674200835551"</f>
        <v>4574674200835551</v>
      </c>
      <c r="F6369" t="str">
        <f>"783"</f>
        <v>783</v>
      </c>
      <c r="G6369">
        <v>1</v>
      </c>
      <c r="H6369">
        <v>2023</v>
      </c>
      <c r="I6369" t="s">
        <v>6484</v>
      </c>
    </row>
    <row r="6370" spans="1:9" x14ac:dyDescent="0.3">
      <c r="A6370" t="s">
        <v>10124</v>
      </c>
      <c r="B6370" t="s">
        <v>79</v>
      </c>
      <c r="C6370">
        <v>8989697390</v>
      </c>
      <c r="D6370" s="2">
        <v>1</v>
      </c>
      <c r="E6370" t="str">
        <f>"4574674200835742"</f>
        <v>4574674200835742</v>
      </c>
      <c r="F6370" t="str">
        <f>"458"</f>
        <v>458</v>
      </c>
      <c r="G6370">
        <v>1</v>
      </c>
      <c r="H6370">
        <v>2023</v>
      </c>
      <c r="I6370" t="s">
        <v>6485</v>
      </c>
    </row>
    <row r="6371" spans="1:9" x14ac:dyDescent="0.3">
      <c r="A6371" t="s">
        <v>10124</v>
      </c>
      <c r="B6371" t="s">
        <v>79</v>
      </c>
      <c r="C6371">
        <v>8989697390</v>
      </c>
      <c r="D6371" s="2">
        <v>1</v>
      </c>
      <c r="E6371" t="str">
        <f>"4574674200835775"</f>
        <v>4574674200835775</v>
      </c>
      <c r="F6371" t="str">
        <f>"232"</f>
        <v>232</v>
      </c>
      <c r="G6371">
        <v>1</v>
      </c>
      <c r="H6371">
        <v>2023</v>
      </c>
      <c r="I6371" t="s">
        <v>6486</v>
      </c>
    </row>
    <row r="6372" spans="1:9" x14ac:dyDescent="0.3">
      <c r="A6372" t="s">
        <v>10124</v>
      </c>
      <c r="B6372" t="s">
        <v>79</v>
      </c>
      <c r="C6372">
        <v>8989697390</v>
      </c>
      <c r="D6372" s="2">
        <v>1</v>
      </c>
      <c r="E6372" t="str">
        <f>"4574674200835759"</f>
        <v>4574674200835759</v>
      </c>
      <c r="F6372" t="str">
        <f>"775"</f>
        <v>775</v>
      </c>
      <c r="G6372">
        <v>1</v>
      </c>
      <c r="H6372">
        <v>2023</v>
      </c>
      <c r="I6372" t="s">
        <v>6487</v>
      </c>
    </row>
    <row r="6373" spans="1:9" x14ac:dyDescent="0.3">
      <c r="A6373" t="s">
        <v>10124</v>
      </c>
      <c r="B6373" t="s">
        <v>79</v>
      </c>
      <c r="C6373">
        <v>8989697390</v>
      </c>
      <c r="D6373" s="2">
        <v>1</v>
      </c>
      <c r="E6373" t="str">
        <f>"4574674200835577"</f>
        <v>4574674200835577</v>
      </c>
      <c r="F6373" t="str">
        <f>"415"</f>
        <v>415</v>
      </c>
      <c r="G6373">
        <v>1</v>
      </c>
      <c r="H6373">
        <v>2023</v>
      </c>
      <c r="I6373" t="s">
        <v>6488</v>
      </c>
    </row>
    <row r="6374" spans="1:9" x14ac:dyDescent="0.3">
      <c r="A6374" t="s">
        <v>10124</v>
      </c>
      <c r="B6374" t="s">
        <v>79</v>
      </c>
      <c r="C6374">
        <v>8989697390</v>
      </c>
      <c r="D6374" s="2">
        <v>1</v>
      </c>
      <c r="E6374" t="str">
        <f>"4574674200835890"</f>
        <v>4574674200835890</v>
      </c>
      <c r="F6374" t="str">
        <f>"851"</f>
        <v>851</v>
      </c>
      <c r="G6374">
        <v>1</v>
      </c>
      <c r="H6374">
        <v>2023</v>
      </c>
      <c r="I6374" t="s">
        <v>6489</v>
      </c>
    </row>
    <row r="6375" spans="1:9" x14ac:dyDescent="0.3">
      <c r="A6375" t="s">
        <v>10124</v>
      </c>
      <c r="B6375" t="s">
        <v>79</v>
      </c>
      <c r="C6375">
        <v>8989697390</v>
      </c>
      <c r="D6375" s="2">
        <v>1</v>
      </c>
      <c r="E6375" t="str">
        <f>"4574674200835932"</f>
        <v>4574674200835932</v>
      </c>
      <c r="F6375" t="str">
        <f>"075"</f>
        <v>075</v>
      </c>
      <c r="G6375">
        <v>1</v>
      </c>
      <c r="H6375">
        <v>2023</v>
      </c>
      <c r="I6375" t="s">
        <v>6490</v>
      </c>
    </row>
    <row r="6376" spans="1:9" x14ac:dyDescent="0.3">
      <c r="A6376" t="s">
        <v>10124</v>
      </c>
      <c r="B6376" t="s">
        <v>79</v>
      </c>
      <c r="C6376">
        <v>8989697390</v>
      </c>
      <c r="D6376" s="2">
        <v>1</v>
      </c>
      <c r="E6376" t="str">
        <f>"4574674200835924"</f>
        <v>4574674200835924</v>
      </c>
      <c r="F6376" t="str">
        <f>"180"</f>
        <v>180</v>
      </c>
      <c r="G6376">
        <v>1</v>
      </c>
      <c r="H6376">
        <v>2023</v>
      </c>
      <c r="I6376" t="s">
        <v>6491</v>
      </c>
    </row>
    <row r="6377" spans="1:9" x14ac:dyDescent="0.3">
      <c r="A6377" t="s">
        <v>10124</v>
      </c>
      <c r="B6377" t="s">
        <v>79</v>
      </c>
      <c r="C6377">
        <v>8989697390</v>
      </c>
      <c r="D6377" s="2">
        <v>1</v>
      </c>
      <c r="E6377" t="str">
        <f>"4574674200836054"</f>
        <v>4574674200836054</v>
      </c>
      <c r="F6377" t="str">
        <f>"874"</f>
        <v>874</v>
      </c>
      <c r="G6377">
        <v>1</v>
      </c>
      <c r="H6377">
        <v>2023</v>
      </c>
      <c r="I6377" t="s">
        <v>6492</v>
      </c>
    </row>
    <row r="6378" spans="1:9" x14ac:dyDescent="0.3">
      <c r="A6378" t="s">
        <v>10125</v>
      </c>
      <c r="B6378" t="s">
        <v>80</v>
      </c>
      <c r="C6378">
        <v>8989697390</v>
      </c>
      <c r="D6378" s="2">
        <v>1</v>
      </c>
      <c r="E6378" t="str">
        <f>"4574674200836070"</f>
        <v>4574674200836070</v>
      </c>
      <c r="F6378" t="str">
        <f>"664"</f>
        <v>664</v>
      </c>
      <c r="G6378">
        <v>1</v>
      </c>
      <c r="H6378">
        <v>2023</v>
      </c>
      <c r="I6378" t="s">
        <v>6493</v>
      </c>
    </row>
    <row r="6379" spans="1:9" x14ac:dyDescent="0.3">
      <c r="A6379" t="s">
        <v>10125</v>
      </c>
      <c r="B6379" t="s">
        <v>80</v>
      </c>
      <c r="C6379">
        <v>8989697390</v>
      </c>
      <c r="D6379" s="2">
        <v>1</v>
      </c>
      <c r="E6379" t="str">
        <f>"4574674200836062"</f>
        <v>4574674200836062</v>
      </c>
      <c r="F6379" t="str">
        <f>"880"</f>
        <v>880</v>
      </c>
      <c r="G6379">
        <v>1</v>
      </c>
      <c r="H6379">
        <v>2023</v>
      </c>
      <c r="I6379" t="s">
        <v>6494</v>
      </c>
    </row>
    <row r="6380" spans="1:9" x14ac:dyDescent="0.3">
      <c r="A6380" t="s">
        <v>10125</v>
      </c>
      <c r="B6380" t="s">
        <v>80</v>
      </c>
      <c r="C6380">
        <v>8989697390</v>
      </c>
      <c r="D6380" s="2">
        <v>1</v>
      </c>
      <c r="E6380" t="str">
        <f>"4574674200836096"</f>
        <v>4574674200836096</v>
      </c>
      <c r="F6380" t="str">
        <f>"472"</f>
        <v>472</v>
      </c>
      <c r="G6380">
        <v>1</v>
      </c>
      <c r="H6380">
        <v>2023</v>
      </c>
      <c r="I6380" t="s">
        <v>6495</v>
      </c>
    </row>
    <row r="6381" spans="1:9" x14ac:dyDescent="0.3">
      <c r="A6381" t="s">
        <v>10125</v>
      </c>
      <c r="B6381" t="s">
        <v>80</v>
      </c>
      <c r="C6381">
        <v>8989697390</v>
      </c>
      <c r="D6381" s="2">
        <v>1</v>
      </c>
      <c r="E6381" t="str">
        <f>"4574674200836260"</f>
        <v>4574674200836260</v>
      </c>
      <c r="F6381" t="str">
        <f>"108"</f>
        <v>108</v>
      </c>
      <c r="G6381">
        <v>1</v>
      </c>
      <c r="H6381">
        <v>2023</v>
      </c>
      <c r="I6381" t="s">
        <v>6496</v>
      </c>
    </row>
    <row r="6382" spans="1:9" x14ac:dyDescent="0.3">
      <c r="A6382" t="s">
        <v>10125</v>
      </c>
      <c r="B6382" t="s">
        <v>80</v>
      </c>
      <c r="C6382">
        <v>8989697390</v>
      </c>
      <c r="D6382" s="2">
        <v>1</v>
      </c>
      <c r="E6382" t="str">
        <f>"4574674200836278"</f>
        <v>4574674200836278</v>
      </c>
      <c r="F6382" t="str">
        <f>"749"</f>
        <v>749</v>
      </c>
      <c r="G6382">
        <v>1</v>
      </c>
      <c r="H6382">
        <v>2023</v>
      </c>
      <c r="I6382" t="s">
        <v>6497</v>
      </c>
    </row>
    <row r="6383" spans="1:9" x14ac:dyDescent="0.3">
      <c r="A6383" t="s">
        <v>10125</v>
      </c>
      <c r="B6383" t="s">
        <v>80</v>
      </c>
      <c r="C6383">
        <v>8989697390</v>
      </c>
      <c r="D6383" s="2">
        <v>1</v>
      </c>
      <c r="E6383" t="str">
        <f>"4574674200836294"</f>
        <v>4574674200836294</v>
      </c>
      <c r="F6383" t="str">
        <f>"444"</f>
        <v>444</v>
      </c>
      <c r="G6383">
        <v>1</v>
      </c>
      <c r="H6383">
        <v>2023</v>
      </c>
      <c r="I6383" t="s">
        <v>6498</v>
      </c>
    </row>
    <row r="6384" spans="1:9" x14ac:dyDescent="0.3">
      <c r="A6384" t="s">
        <v>10125</v>
      </c>
      <c r="B6384" t="s">
        <v>80</v>
      </c>
      <c r="C6384">
        <v>8989697390</v>
      </c>
      <c r="D6384" s="2">
        <v>1</v>
      </c>
      <c r="E6384" t="str">
        <f>"4574674200836161"</f>
        <v>4574674200836161</v>
      </c>
      <c r="F6384" t="str">
        <f>"498"</f>
        <v>498</v>
      </c>
      <c r="G6384">
        <v>1</v>
      </c>
      <c r="H6384">
        <v>2023</v>
      </c>
      <c r="I6384" t="s">
        <v>6499</v>
      </c>
    </row>
    <row r="6385" spans="1:9" x14ac:dyDescent="0.3">
      <c r="A6385" t="s">
        <v>10125</v>
      </c>
      <c r="B6385" t="s">
        <v>80</v>
      </c>
      <c r="C6385">
        <v>8989697390</v>
      </c>
      <c r="D6385" s="2">
        <v>1</v>
      </c>
      <c r="E6385" t="str">
        <f>"4574674200836179"</f>
        <v>4574674200836179</v>
      </c>
      <c r="F6385" t="str">
        <f>"538"</f>
        <v>538</v>
      </c>
      <c r="G6385">
        <v>1</v>
      </c>
      <c r="H6385">
        <v>2023</v>
      </c>
      <c r="I6385" t="s">
        <v>6500</v>
      </c>
    </row>
    <row r="6386" spans="1:9" x14ac:dyDescent="0.3">
      <c r="A6386" t="s">
        <v>10125</v>
      </c>
      <c r="B6386" t="s">
        <v>80</v>
      </c>
      <c r="C6386">
        <v>8989697390</v>
      </c>
      <c r="D6386" s="2">
        <v>1</v>
      </c>
      <c r="E6386" t="str">
        <f>"4574674200836393"</f>
        <v>4574674200836393</v>
      </c>
      <c r="F6386" t="str">
        <f>"148"</f>
        <v>148</v>
      </c>
      <c r="G6386">
        <v>1</v>
      </c>
      <c r="H6386">
        <v>2023</v>
      </c>
      <c r="I6386" t="s">
        <v>6501</v>
      </c>
    </row>
    <row r="6387" spans="1:9" x14ac:dyDescent="0.3">
      <c r="A6387" t="s">
        <v>10125</v>
      </c>
      <c r="B6387" t="s">
        <v>80</v>
      </c>
      <c r="C6387">
        <v>8989697390</v>
      </c>
      <c r="D6387" s="2">
        <v>1</v>
      </c>
      <c r="E6387" t="str">
        <f>"4574674200836401"</f>
        <v>4574674200836401</v>
      </c>
      <c r="F6387" t="str">
        <f>"255"</f>
        <v>255</v>
      </c>
      <c r="G6387">
        <v>1</v>
      </c>
      <c r="H6387">
        <v>2023</v>
      </c>
      <c r="I6387" t="s">
        <v>6502</v>
      </c>
    </row>
    <row r="6388" spans="1:9" x14ac:dyDescent="0.3">
      <c r="A6388" t="s">
        <v>10163</v>
      </c>
      <c r="B6388" t="s">
        <v>57</v>
      </c>
      <c r="C6388">
        <v>8989697390</v>
      </c>
      <c r="D6388" s="2">
        <v>1</v>
      </c>
      <c r="E6388" t="str">
        <f>"4574674200836641"</f>
        <v>4574674200836641</v>
      </c>
      <c r="F6388" t="str">
        <f>"667"</f>
        <v>667</v>
      </c>
      <c r="G6388">
        <v>1</v>
      </c>
      <c r="H6388">
        <v>2023</v>
      </c>
      <c r="I6388" t="s">
        <v>6503</v>
      </c>
    </row>
    <row r="6389" spans="1:9" x14ac:dyDescent="0.3">
      <c r="A6389" t="s">
        <v>10163</v>
      </c>
      <c r="B6389" t="s">
        <v>57</v>
      </c>
      <c r="C6389">
        <v>8989697390</v>
      </c>
      <c r="D6389" s="2">
        <v>1</v>
      </c>
      <c r="E6389" t="str">
        <f>"4574674200836658"</f>
        <v>4574674200836658</v>
      </c>
      <c r="F6389" t="str">
        <f>"869"</f>
        <v>869</v>
      </c>
      <c r="G6389">
        <v>1</v>
      </c>
      <c r="H6389">
        <v>2023</v>
      </c>
      <c r="I6389" t="s">
        <v>6504</v>
      </c>
    </row>
    <row r="6390" spans="1:9" x14ac:dyDescent="0.3">
      <c r="A6390" t="s">
        <v>10163</v>
      </c>
      <c r="B6390" t="s">
        <v>57</v>
      </c>
      <c r="C6390">
        <v>8989697390</v>
      </c>
      <c r="D6390" s="2">
        <v>1</v>
      </c>
      <c r="E6390" t="str">
        <f>"4574674200836419"</f>
        <v>4574674200836419</v>
      </c>
      <c r="F6390" t="str">
        <f>"148"</f>
        <v>148</v>
      </c>
      <c r="G6390">
        <v>1</v>
      </c>
      <c r="H6390">
        <v>2023</v>
      </c>
      <c r="I6390" t="s">
        <v>6505</v>
      </c>
    </row>
    <row r="6391" spans="1:9" x14ac:dyDescent="0.3">
      <c r="A6391" t="s">
        <v>10163</v>
      </c>
      <c r="B6391" t="s">
        <v>57</v>
      </c>
      <c r="C6391">
        <v>8989697390</v>
      </c>
      <c r="D6391" s="2">
        <v>1</v>
      </c>
      <c r="E6391" t="str">
        <f>"4574674200836740"</f>
        <v>4574674200836740</v>
      </c>
      <c r="F6391" t="str">
        <f>"485"</f>
        <v>485</v>
      </c>
      <c r="G6391">
        <v>1</v>
      </c>
      <c r="H6391">
        <v>2023</v>
      </c>
      <c r="I6391" t="s">
        <v>6506</v>
      </c>
    </row>
    <row r="6392" spans="1:9" x14ac:dyDescent="0.3">
      <c r="A6392" t="s">
        <v>10163</v>
      </c>
      <c r="B6392" t="s">
        <v>57</v>
      </c>
      <c r="C6392">
        <v>8989697390</v>
      </c>
      <c r="D6392" s="2">
        <v>1</v>
      </c>
      <c r="E6392" t="str">
        <f>"4574674200836765"</f>
        <v>4574674200836765</v>
      </c>
      <c r="F6392" t="str">
        <f>"858"</f>
        <v>858</v>
      </c>
      <c r="G6392">
        <v>1</v>
      </c>
      <c r="H6392">
        <v>2023</v>
      </c>
      <c r="I6392" t="s">
        <v>6507</v>
      </c>
    </row>
    <row r="6393" spans="1:9" x14ac:dyDescent="0.3">
      <c r="A6393" t="s">
        <v>10163</v>
      </c>
      <c r="B6393" t="s">
        <v>57</v>
      </c>
      <c r="C6393">
        <v>8989697390</v>
      </c>
      <c r="D6393" s="2">
        <v>1</v>
      </c>
      <c r="E6393" t="str">
        <f>"4574674200836773"</f>
        <v>4574674200836773</v>
      </c>
      <c r="F6393" t="str">
        <f>"531"</f>
        <v>531</v>
      </c>
      <c r="G6393">
        <v>1</v>
      </c>
      <c r="H6393">
        <v>2023</v>
      </c>
      <c r="I6393" t="s">
        <v>6508</v>
      </c>
    </row>
    <row r="6394" spans="1:9" x14ac:dyDescent="0.3">
      <c r="A6394" t="s">
        <v>10163</v>
      </c>
      <c r="B6394" t="s">
        <v>57</v>
      </c>
      <c r="C6394">
        <v>8989697390</v>
      </c>
      <c r="D6394" s="2">
        <v>1</v>
      </c>
      <c r="E6394" t="str">
        <f>"4574674200836484"</f>
        <v>4574674200836484</v>
      </c>
      <c r="F6394" t="str">
        <f>"167"</f>
        <v>167</v>
      </c>
      <c r="G6394">
        <v>1</v>
      </c>
      <c r="H6394">
        <v>2023</v>
      </c>
      <c r="I6394" t="s">
        <v>6509</v>
      </c>
    </row>
    <row r="6395" spans="1:9" x14ac:dyDescent="0.3">
      <c r="A6395" t="s">
        <v>10163</v>
      </c>
      <c r="B6395" t="s">
        <v>57</v>
      </c>
      <c r="C6395">
        <v>8989697390</v>
      </c>
      <c r="D6395" s="2">
        <v>1</v>
      </c>
      <c r="E6395" t="str">
        <f>"4574674200836492"</f>
        <v>4574674200836492</v>
      </c>
      <c r="F6395" t="str">
        <f>"362"</f>
        <v>362</v>
      </c>
      <c r="G6395">
        <v>1</v>
      </c>
      <c r="H6395">
        <v>2023</v>
      </c>
      <c r="I6395" t="s">
        <v>6510</v>
      </c>
    </row>
    <row r="6396" spans="1:9" x14ac:dyDescent="0.3">
      <c r="A6396" t="s">
        <v>10163</v>
      </c>
      <c r="B6396" t="s">
        <v>57</v>
      </c>
      <c r="C6396">
        <v>8989697390</v>
      </c>
      <c r="D6396" s="2">
        <v>1</v>
      </c>
      <c r="E6396" t="str">
        <f>"4574674200836534"</f>
        <v>4574674200836534</v>
      </c>
      <c r="F6396" t="str">
        <f>"951"</f>
        <v>951</v>
      </c>
      <c r="G6396">
        <v>1</v>
      </c>
      <c r="H6396">
        <v>2023</v>
      </c>
      <c r="I6396" t="s">
        <v>6511</v>
      </c>
    </row>
    <row r="6397" spans="1:9" x14ac:dyDescent="0.3">
      <c r="A6397" t="s">
        <v>10163</v>
      </c>
      <c r="B6397" t="s">
        <v>57</v>
      </c>
      <c r="C6397">
        <v>8989697390</v>
      </c>
      <c r="D6397" s="2">
        <v>1</v>
      </c>
      <c r="E6397" t="str">
        <f>"4574674200836542"</f>
        <v>4574674200836542</v>
      </c>
      <c r="F6397" t="str">
        <f>"600"</f>
        <v>600</v>
      </c>
      <c r="G6397">
        <v>1</v>
      </c>
      <c r="H6397">
        <v>2023</v>
      </c>
      <c r="I6397" t="s">
        <v>6512</v>
      </c>
    </row>
    <row r="6398" spans="1:9" x14ac:dyDescent="0.3">
      <c r="A6398" t="s">
        <v>10164</v>
      </c>
      <c r="B6398" t="s">
        <v>58</v>
      </c>
      <c r="C6398">
        <v>8989697390</v>
      </c>
      <c r="D6398" s="2">
        <v>1</v>
      </c>
      <c r="E6398" t="str">
        <f>"4574674200836948"</f>
        <v>4574674200836948</v>
      </c>
      <c r="F6398" t="str">
        <f>"219"</f>
        <v>219</v>
      </c>
      <c r="G6398">
        <v>1</v>
      </c>
      <c r="H6398">
        <v>2023</v>
      </c>
      <c r="I6398" t="s">
        <v>6513</v>
      </c>
    </row>
    <row r="6399" spans="1:9" x14ac:dyDescent="0.3">
      <c r="A6399" t="s">
        <v>10164</v>
      </c>
      <c r="B6399" t="s">
        <v>58</v>
      </c>
      <c r="C6399">
        <v>8989697390</v>
      </c>
      <c r="D6399" s="2">
        <v>1</v>
      </c>
      <c r="E6399" t="str">
        <f>"4574674200836906"</f>
        <v>4574674200836906</v>
      </c>
      <c r="F6399" t="str">
        <f>"073"</f>
        <v>073</v>
      </c>
      <c r="G6399">
        <v>1</v>
      </c>
      <c r="H6399">
        <v>2023</v>
      </c>
      <c r="I6399" t="s">
        <v>6514</v>
      </c>
    </row>
    <row r="6400" spans="1:9" x14ac:dyDescent="0.3">
      <c r="A6400" t="s">
        <v>10164</v>
      </c>
      <c r="B6400" t="s">
        <v>58</v>
      </c>
      <c r="C6400">
        <v>8989697390</v>
      </c>
      <c r="D6400" s="2">
        <v>1</v>
      </c>
      <c r="E6400" t="str">
        <f>"4574674200836914"</f>
        <v>4574674200836914</v>
      </c>
      <c r="F6400" t="str">
        <f>"483"</f>
        <v>483</v>
      </c>
      <c r="G6400">
        <v>1</v>
      </c>
      <c r="H6400">
        <v>2023</v>
      </c>
      <c r="I6400" t="s">
        <v>6515</v>
      </c>
    </row>
    <row r="6401" spans="1:9" x14ac:dyDescent="0.3">
      <c r="A6401" t="s">
        <v>10164</v>
      </c>
      <c r="B6401" t="s">
        <v>58</v>
      </c>
      <c r="C6401">
        <v>8989697390</v>
      </c>
      <c r="D6401" s="2">
        <v>1</v>
      </c>
      <c r="E6401" t="str">
        <f>"4574674200837201"</f>
        <v>4574674200837201</v>
      </c>
      <c r="F6401" t="str">
        <f>"307"</f>
        <v>307</v>
      </c>
      <c r="G6401">
        <v>1</v>
      </c>
      <c r="H6401">
        <v>2023</v>
      </c>
      <c r="I6401" t="s">
        <v>6516</v>
      </c>
    </row>
    <row r="6402" spans="1:9" x14ac:dyDescent="0.3">
      <c r="A6402" t="s">
        <v>10164</v>
      </c>
      <c r="B6402" t="s">
        <v>58</v>
      </c>
      <c r="C6402">
        <v>8989697390</v>
      </c>
      <c r="D6402" s="2">
        <v>1</v>
      </c>
      <c r="E6402" t="str">
        <f>"4574674200837227"</f>
        <v>4574674200837227</v>
      </c>
      <c r="F6402" t="str">
        <f>"679"</f>
        <v>679</v>
      </c>
      <c r="G6402">
        <v>1</v>
      </c>
      <c r="H6402">
        <v>2023</v>
      </c>
      <c r="I6402" t="s">
        <v>6517</v>
      </c>
    </row>
    <row r="6403" spans="1:9" x14ac:dyDescent="0.3">
      <c r="A6403" t="s">
        <v>10164</v>
      </c>
      <c r="B6403" t="s">
        <v>58</v>
      </c>
      <c r="C6403">
        <v>8989697390</v>
      </c>
      <c r="D6403" s="2">
        <v>1</v>
      </c>
      <c r="E6403" t="str">
        <f>"4574674200837060"</f>
        <v>4574674200837060</v>
      </c>
      <c r="F6403" t="str">
        <f>"901"</f>
        <v>901</v>
      </c>
      <c r="G6403">
        <v>1</v>
      </c>
      <c r="H6403">
        <v>2023</v>
      </c>
      <c r="I6403" t="s">
        <v>6518</v>
      </c>
    </row>
    <row r="6404" spans="1:9" x14ac:dyDescent="0.3">
      <c r="A6404" t="s">
        <v>10164</v>
      </c>
      <c r="B6404" t="s">
        <v>58</v>
      </c>
      <c r="C6404">
        <v>8989697390</v>
      </c>
      <c r="D6404" s="2">
        <v>1</v>
      </c>
      <c r="E6404" t="str">
        <f>"4574674200837086"</f>
        <v>4574674200837086</v>
      </c>
      <c r="F6404" t="str">
        <f>"763"</f>
        <v>763</v>
      </c>
      <c r="G6404">
        <v>1</v>
      </c>
      <c r="H6404">
        <v>2023</v>
      </c>
      <c r="I6404" t="s">
        <v>6519</v>
      </c>
    </row>
    <row r="6405" spans="1:9" x14ac:dyDescent="0.3">
      <c r="A6405" t="s">
        <v>10164</v>
      </c>
      <c r="B6405" t="s">
        <v>58</v>
      </c>
      <c r="C6405">
        <v>8989697390</v>
      </c>
      <c r="D6405" s="2">
        <v>1</v>
      </c>
      <c r="E6405" t="str">
        <f>"4574674200837243"</f>
        <v>4574674200837243</v>
      </c>
      <c r="F6405" t="str">
        <f>"314"</f>
        <v>314</v>
      </c>
      <c r="G6405">
        <v>1</v>
      </c>
      <c r="H6405">
        <v>2023</v>
      </c>
      <c r="I6405" t="s">
        <v>6520</v>
      </c>
    </row>
    <row r="6406" spans="1:9" x14ac:dyDescent="0.3">
      <c r="A6406" t="s">
        <v>10164</v>
      </c>
      <c r="B6406" t="s">
        <v>58</v>
      </c>
      <c r="C6406">
        <v>8989697390</v>
      </c>
      <c r="D6406" s="2">
        <v>1</v>
      </c>
      <c r="E6406" t="str">
        <f>"4574674200837250"</f>
        <v>4574674200837250</v>
      </c>
      <c r="F6406" t="str">
        <f>"140"</f>
        <v>140</v>
      </c>
      <c r="G6406">
        <v>1</v>
      </c>
      <c r="H6406">
        <v>2023</v>
      </c>
      <c r="I6406" t="s">
        <v>6521</v>
      </c>
    </row>
    <row r="6407" spans="1:9" x14ac:dyDescent="0.3">
      <c r="A6407" t="s">
        <v>10164</v>
      </c>
      <c r="B6407" t="s">
        <v>58</v>
      </c>
      <c r="C6407">
        <v>8989697390</v>
      </c>
      <c r="D6407" s="2">
        <v>1</v>
      </c>
      <c r="E6407" t="str">
        <f>"4574674200837102"</f>
        <v>4574674200837102</v>
      </c>
      <c r="F6407" t="str">
        <f>"685"</f>
        <v>685</v>
      </c>
      <c r="G6407">
        <v>1</v>
      </c>
      <c r="H6407">
        <v>2023</v>
      </c>
      <c r="I6407" t="s">
        <v>6522</v>
      </c>
    </row>
    <row r="6408" spans="1:9" x14ac:dyDescent="0.3">
      <c r="A6408" t="s">
        <v>10124</v>
      </c>
      <c r="B6408" t="s">
        <v>79</v>
      </c>
      <c r="C6408">
        <v>8989697390</v>
      </c>
      <c r="D6408" s="2">
        <v>1</v>
      </c>
      <c r="E6408" t="str">
        <f>"4574674200837318"</f>
        <v>4574674200837318</v>
      </c>
      <c r="F6408" t="str">
        <f>"773"</f>
        <v>773</v>
      </c>
      <c r="G6408">
        <v>1</v>
      </c>
      <c r="H6408">
        <v>2023</v>
      </c>
      <c r="I6408" t="s">
        <v>6523</v>
      </c>
    </row>
    <row r="6409" spans="1:9" x14ac:dyDescent="0.3">
      <c r="A6409" t="s">
        <v>10124</v>
      </c>
      <c r="B6409" t="s">
        <v>79</v>
      </c>
      <c r="C6409">
        <v>8989697390</v>
      </c>
      <c r="D6409" s="2">
        <v>1</v>
      </c>
      <c r="E6409" t="str">
        <f>"4574674200837433"</f>
        <v>4574674200837433</v>
      </c>
      <c r="F6409" t="str">
        <f>"048"</f>
        <v>048</v>
      </c>
      <c r="G6409">
        <v>1</v>
      </c>
      <c r="H6409">
        <v>2023</v>
      </c>
      <c r="I6409" t="s">
        <v>6524</v>
      </c>
    </row>
    <row r="6410" spans="1:9" x14ac:dyDescent="0.3">
      <c r="A6410" t="s">
        <v>10124</v>
      </c>
      <c r="B6410" t="s">
        <v>79</v>
      </c>
      <c r="C6410">
        <v>8989697390</v>
      </c>
      <c r="D6410" s="2">
        <v>1</v>
      </c>
      <c r="E6410" t="str">
        <f>"4574674200837441"</f>
        <v>4574674200837441</v>
      </c>
      <c r="F6410" t="str">
        <f>"131"</f>
        <v>131</v>
      </c>
      <c r="G6410">
        <v>1</v>
      </c>
      <c r="H6410">
        <v>2023</v>
      </c>
      <c r="I6410" t="s">
        <v>6525</v>
      </c>
    </row>
    <row r="6411" spans="1:9" x14ac:dyDescent="0.3">
      <c r="A6411" t="s">
        <v>10124</v>
      </c>
      <c r="B6411" t="s">
        <v>79</v>
      </c>
      <c r="C6411">
        <v>8989697390</v>
      </c>
      <c r="D6411" s="2">
        <v>1</v>
      </c>
      <c r="E6411" t="str">
        <f>"4574674200837334"</f>
        <v>4574674200837334</v>
      </c>
      <c r="F6411" t="str">
        <f>"758"</f>
        <v>758</v>
      </c>
      <c r="G6411">
        <v>1</v>
      </c>
      <c r="H6411">
        <v>2023</v>
      </c>
      <c r="I6411" t="s">
        <v>6526</v>
      </c>
    </row>
    <row r="6412" spans="1:9" x14ac:dyDescent="0.3">
      <c r="A6412" t="s">
        <v>10124</v>
      </c>
      <c r="B6412" t="s">
        <v>79</v>
      </c>
      <c r="C6412">
        <v>8989697390</v>
      </c>
      <c r="D6412" s="2">
        <v>1</v>
      </c>
      <c r="E6412" t="str">
        <f>"4574674200837482"</f>
        <v>4574674200837482</v>
      </c>
      <c r="F6412" t="str">
        <f>"877"</f>
        <v>877</v>
      </c>
      <c r="G6412">
        <v>1</v>
      </c>
      <c r="H6412">
        <v>2023</v>
      </c>
      <c r="I6412" t="s">
        <v>6527</v>
      </c>
    </row>
    <row r="6413" spans="1:9" x14ac:dyDescent="0.3">
      <c r="A6413" t="s">
        <v>10124</v>
      </c>
      <c r="B6413" t="s">
        <v>79</v>
      </c>
      <c r="C6413">
        <v>8989697390</v>
      </c>
      <c r="D6413" s="2">
        <v>1</v>
      </c>
      <c r="E6413" t="str">
        <f>"4574674200837367"</f>
        <v>4574674200837367</v>
      </c>
      <c r="F6413" t="str">
        <f>"696"</f>
        <v>696</v>
      </c>
      <c r="G6413">
        <v>1</v>
      </c>
      <c r="H6413">
        <v>2023</v>
      </c>
      <c r="I6413" t="s">
        <v>6528</v>
      </c>
    </row>
    <row r="6414" spans="1:9" x14ac:dyDescent="0.3">
      <c r="A6414" t="s">
        <v>10124</v>
      </c>
      <c r="B6414" t="s">
        <v>79</v>
      </c>
      <c r="C6414">
        <v>8989697390</v>
      </c>
      <c r="D6414" s="2">
        <v>1</v>
      </c>
      <c r="E6414" t="str">
        <f>"4574674200837375"</f>
        <v>4574674200837375</v>
      </c>
      <c r="F6414" t="str">
        <f>"604"</f>
        <v>604</v>
      </c>
      <c r="G6414">
        <v>1</v>
      </c>
      <c r="H6414">
        <v>2023</v>
      </c>
      <c r="I6414" t="s">
        <v>6529</v>
      </c>
    </row>
    <row r="6415" spans="1:9" x14ac:dyDescent="0.3">
      <c r="A6415" t="s">
        <v>10124</v>
      </c>
      <c r="B6415" t="s">
        <v>79</v>
      </c>
      <c r="C6415">
        <v>8989697390</v>
      </c>
      <c r="D6415" s="2">
        <v>1</v>
      </c>
      <c r="E6415" t="str">
        <f>"4574674200837805"</f>
        <v>4574674200837805</v>
      </c>
      <c r="F6415" t="str">
        <f>"764"</f>
        <v>764</v>
      </c>
      <c r="G6415">
        <v>1</v>
      </c>
      <c r="H6415">
        <v>2023</v>
      </c>
      <c r="I6415" t="s">
        <v>6530</v>
      </c>
    </row>
    <row r="6416" spans="1:9" x14ac:dyDescent="0.3">
      <c r="A6416" t="s">
        <v>10124</v>
      </c>
      <c r="B6416" t="s">
        <v>79</v>
      </c>
      <c r="C6416">
        <v>8989697390</v>
      </c>
      <c r="D6416" s="2">
        <v>1</v>
      </c>
      <c r="E6416" t="str">
        <f>"4574674200837599"</f>
        <v>4574674200837599</v>
      </c>
      <c r="F6416" t="str">
        <f>"995"</f>
        <v>995</v>
      </c>
      <c r="G6416">
        <v>1</v>
      </c>
      <c r="H6416">
        <v>2023</v>
      </c>
      <c r="I6416" t="s">
        <v>6531</v>
      </c>
    </row>
    <row r="6417" spans="1:9" x14ac:dyDescent="0.3">
      <c r="A6417" t="s">
        <v>10124</v>
      </c>
      <c r="B6417" t="s">
        <v>79</v>
      </c>
      <c r="C6417">
        <v>8989697390</v>
      </c>
      <c r="D6417" s="2">
        <v>1</v>
      </c>
      <c r="E6417" t="str">
        <f>"4574674200837839"</f>
        <v>4574674200837839</v>
      </c>
      <c r="F6417" t="str">
        <f>"577"</f>
        <v>577</v>
      </c>
      <c r="G6417">
        <v>1</v>
      </c>
      <c r="H6417">
        <v>2023</v>
      </c>
      <c r="I6417" t="s">
        <v>6532</v>
      </c>
    </row>
    <row r="6418" spans="1:9" x14ac:dyDescent="0.3">
      <c r="A6418" t="s">
        <v>10125</v>
      </c>
      <c r="B6418" t="s">
        <v>80</v>
      </c>
      <c r="C6418">
        <v>8989697390</v>
      </c>
      <c r="D6418" s="2">
        <v>1</v>
      </c>
      <c r="E6418" t="str">
        <f>"4574674200837623"</f>
        <v>4574674200837623</v>
      </c>
      <c r="F6418" t="str">
        <f>"864"</f>
        <v>864</v>
      </c>
      <c r="G6418">
        <v>1</v>
      </c>
      <c r="H6418">
        <v>2023</v>
      </c>
      <c r="I6418" t="s">
        <v>6533</v>
      </c>
    </row>
    <row r="6419" spans="1:9" x14ac:dyDescent="0.3">
      <c r="A6419" t="s">
        <v>10125</v>
      </c>
      <c r="B6419" t="s">
        <v>80</v>
      </c>
      <c r="C6419">
        <v>8989697390</v>
      </c>
      <c r="D6419" s="2">
        <v>1</v>
      </c>
      <c r="E6419" t="str">
        <f>"4574674200837656"</f>
        <v>4574674200837656</v>
      </c>
      <c r="F6419" t="str">
        <f>"292"</f>
        <v>292</v>
      </c>
      <c r="G6419">
        <v>1</v>
      </c>
      <c r="H6419">
        <v>2023</v>
      </c>
      <c r="I6419" t="s">
        <v>6534</v>
      </c>
    </row>
    <row r="6420" spans="1:9" x14ac:dyDescent="0.3">
      <c r="A6420" t="s">
        <v>10125</v>
      </c>
      <c r="B6420" t="s">
        <v>80</v>
      </c>
      <c r="C6420">
        <v>8989697390</v>
      </c>
      <c r="D6420" s="2">
        <v>1</v>
      </c>
      <c r="E6420" t="str">
        <f>"4574674200837953"</f>
        <v>4574674200837953</v>
      </c>
      <c r="F6420" t="str">
        <f>"200"</f>
        <v>200</v>
      </c>
      <c r="G6420">
        <v>1</v>
      </c>
      <c r="H6420">
        <v>2023</v>
      </c>
      <c r="I6420" t="s">
        <v>6535</v>
      </c>
    </row>
    <row r="6421" spans="1:9" x14ac:dyDescent="0.3">
      <c r="A6421" t="s">
        <v>10125</v>
      </c>
      <c r="B6421" t="s">
        <v>80</v>
      </c>
      <c r="C6421">
        <v>8989697390</v>
      </c>
      <c r="D6421" s="2">
        <v>1</v>
      </c>
      <c r="E6421" t="str">
        <f>"4574674200837961"</f>
        <v>4574674200837961</v>
      </c>
      <c r="F6421" t="str">
        <f>"875"</f>
        <v>875</v>
      </c>
      <c r="G6421">
        <v>1</v>
      </c>
      <c r="H6421">
        <v>2023</v>
      </c>
      <c r="I6421" t="s">
        <v>6536</v>
      </c>
    </row>
    <row r="6422" spans="1:9" x14ac:dyDescent="0.3">
      <c r="A6422" t="s">
        <v>10125</v>
      </c>
      <c r="B6422" t="s">
        <v>80</v>
      </c>
      <c r="C6422">
        <v>8989697390</v>
      </c>
      <c r="D6422" s="2">
        <v>1</v>
      </c>
      <c r="E6422" t="str">
        <f>"4574674200837680"</f>
        <v>4574674200837680</v>
      </c>
      <c r="F6422" t="str">
        <f>"029"</f>
        <v>029</v>
      </c>
      <c r="G6422">
        <v>1</v>
      </c>
      <c r="H6422">
        <v>2023</v>
      </c>
      <c r="I6422" t="s">
        <v>6537</v>
      </c>
    </row>
    <row r="6423" spans="1:9" x14ac:dyDescent="0.3">
      <c r="A6423" t="s">
        <v>10125</v>
      </c>
      <c r="B6423" t="s">
        <v>80</v>
      </c>
      <c r="C6423">
        <v>8989697390</v>
      </c>
      <c r="D6423" s="2">
        <v>1</v>
      </c>
      <c r="E6423" t="str">
        <f>"4574674200838001"</f>
        <v>4574674200838001</v>
      </c>
      <c r="F6423" t="str">
        <f>"032"</f>
        <v>032</v>
      </c>
      <c r="G6423">
        <v>1</v>
      </c>
      <c r="H6423">
        <v>2023</v>
      </c>
      <c r="I6423" t="s">
        <v>6538</v>
      </c>
    </row>
    <row r="6424" spans="1:9" x14ac:dyDescent="0.3">
      <c r="A6424" t="s">
        <v>10125</v>
      </c>
      <c r="B6424" t="s">
        <v>80</v>
      </c>
      <c r="C6424">
        <v>8989697390</v>
      </c>
      <c r="D6424" s="2">
        <v>1</v>
      </c>
      <c r="E6424" t="str">
        <f>"4574674200837706"</f>
        <v>4574674200837706</v>
      </c>
      <c r="F6424" t="str">
        <f>"151"</f>
        <v>151</v>
      </c>
      <c r="G6424">
        <v>1</v>
      </c>
      <c r="H6424">
        <v>2023</v>
      </c>
      <c r="I6424" t="s">
        <v>6539</v>
      </c>
    </row>
    <row r="6425" spans="1:9" x14ac:dyDescent="0.3">
      <c r="A6425" t="s">
        <v>10125</v>
      </c>
      <c r="B6425" t="s">
        <v>80</v>
      </c>
      <c r="C6425">
        <v>8989697390</v>
      </c>
      <c r="D6425" s="2">
        <v>1</v>
      </c>
      <c r="E6425" t="str">
        <f>"4574674200837730"</f>
        <v>4574674200837730</v>
      </c>
      <c r="F6425" t="str">
        <f>"036"</f>
        <v>036</v>
      </c>
      <c r="G6425">
        <v>1</v>
      </c>
      <c r="H6425">
        <v>2023</v>
      </c>
      <c r="I6425" t="s">
        <v>6540</v>
      </c>
    </row>
    <row r="6426" spans="1:9" x14ac:dyDescent="0.3">
      <c r="A6426" t="s">
        <v>10125</v>
      </c>
      <c r="B6426" t="s">
        <v>80</v>
      </c>
      <c r="C6426">
        <v>8989697390</v>
      </c>
      <c r="D6426" s="2">
        <v>1</v>
      </c>
      <c r="E6426" t="str">
        <f>"4574674200838118"</f>
        <v>4574674200838118</v>
      </c>
      <c r="F6426" t="str">
        <f>"143"</f>
        <v>143</v>
      </c>
      <c r="G6426">
        <v>1</v>
      </c>
      <c r="H6426">
        <v>2023</v>
      </c>
      <c r="I6426" t="s">
        <v>6541</v>
      </c>
    </row>
    <row r="6427" spans="1:9" x14ac:dyDescent="0.3">
      <c r="A6427" t="s">
        <v>10125</v>
      </c>
      <c r="B6427" t="s">
        <v>80</v>
      </c>
      <c r="C6427">
        <v>8989697390</v>
      </c>
      <c r="D6427" s="2">
        <v>1</v>
      </c>
      <c r="E6427" t="str">
        <f>"4574674200838134"</f>
        <v>4574674200838134</v>
      </c>
      <c r="F6427" t="str">
        <f>"920"</f>
        <v>920</v>
      </c>
      <c r="G6427">
        <v>1</v>
      </c>
      <c r="H6427">
        <v>2023</v>
      </c>
      <c r="I6427" t="s">
        <v>6542</v>
      </c>
    </row>
    <row r="6428" spans="1:9" x14ac:dyDescent="0.3">
      <c r="A6428" t="s">
        <v>10169</v>
      </c>
      <c r="B6428" t="s">
        <v>70</v>
      </c>
      <c r="C6428">
        <v>8989697390</v>
      </c>
      <c r="D6428" s="2">
        <v>1</v>
      </c>
      <c r="E6428" t="str">
        <f>"4574674200838167"</f>
        <v>4574674200838167</v>
      </c>
      <c r="F6428" t="str">
        <f>"024"</f>
        <v>024</v>
      </c>
      <c r="G6428">
        <v>1</v>
      </c>
      <c r="H6428">
        <v>2023</v>
      </c>
      <c r="I6428" t="s">
        <v>6543</v>
      </c>
    </row>
    <row r="6429" spans="1:9" x14ac:dyDescent="0.3">
      <c r="A6429" t="s">
        <v>10169</v>
      </c>
      <c r="B6429" t="s">
        <v>70</v>
      </c>
      <c r="C6429">
        <v>8989697390</v>
      </c>
      <c r="D6429" s="2">
        <v>1</v>
      </c>
      <c r="E6429" t="str">
        <f>"4574674200837771"</f>
        <v>4574674200837771</v>
      </c>
      <c r="F6429" t="str">
        <f>"014"</f>
        <v>014</v>
      </c>
      <c r="G6429">
        <v>1</v>
      </c>
      <c r="H6429">
        <v>2023</v>
      </c>
      <c r="I6429" t="s">
        <v>6544</v>
      </c>
    </row>
    <row r="6430" spans="1:9" x14ac:dyDescent="0.3">
      <c r="A6430" t="s">
        <v>10169</v>
      </c>
      <c r="B6430" t="s">
        <v>70</v>
      </c>
      <c r="C6430">
        <v>8989697390</v>
      </c>
      <c r="D6430" s="2">
        <v>1</v>
      </c>
      <c r="E6430" t="str">
        <f>"4574674200838266"</f>
        <v>4574674200838266</v>
      </c>
      <c r="F6430" t="str">
        <f>"912"</f>
        <v>912</v>
      </c>
      <c r="G6430">
        <v>1</v>
      </c>
      <c r="H6430">
        <v>2023</v>
      </c>
      <c r="I6430" t="s">
        <v>6545</v>
      </c>
    </row>
    <row r="6431" spans="1:9" x14ac:dyDescent="0.3">
      <c r="A6431" t="s">
        <v>10169</v>
      </c>
      <c r="B6431" t="s">
        <v>70</v>
      </c>
      <c r="C6431">
        <v>8989697390</v>
      </c>
      <c r="D6431" s="2">
        <v>1</v>
      </c>
      <c r="E6431" t="str">
        <f>"4574674200838282"</f>
        <v>4574674200838282</v>
      </c>
      <c r="F6431" t="str">
        <f>"121"</f>
        <v>121</v>
      </c>
      <c r="G6431">
        <v>1</v>
      </c>
      <c r="H6431">
        <v>2023</v>
      </c>
      <c r="I6431" t="s">
        <v>6546</v>
      </c>
    </row>
    <row r="6432" spans="1:9" x14ac:dyDescent="0.3">
      <c r="A6432" t="s">
        <v>10169</v>
      </c>
      <c r="B6432" t="s">
        <v>70</v>
      </c>
      <c r="C6432">
        <v>8989697390</v>
      </c>
      <c r="D6432" s="2">
        <v>1</v>
      </c>
      <c r="E6432" t="str">
        <f>"4574674200838290"</f>
        <v>4574674200838290</v>
      </c>
      <c r="F6432" t="str">
        <f>"368"</f>
        <v>368</v>
      </c>
      <c r="G6432">
        <v>1</v>
      </c>
      <c r="H6432">
        <v>2023</v>
      </c>
      <c r="I6432" t="s">
        <v>6547</v>
      </c>
    </row>
    <row r="6433" spans="1:9" x14ac:dyDescent="0.3">
      <c r="A6433" t="s">
        <v>10169</v>
      </c>
      <c r="B6433" t="s">
        <v>70</v>
      </c>
      <c r="C6433">
        <v>8989697390</v>
      </c>
      <c r="D6433" s="2">
        <v>1</v>
      </c>
      <c r="E6433" t="str">
        <f>"4574674200838407"</f>
        <v>4574674200838407</v>
      </c>
      <c r="F6433" t="str">
        <f>"373"</f>
        <v>373</v>
      </c>
      <c r="G6433">
        <v>1</v>
      </c>
      <c r="H6433">
        <v>2023</v>
      </c>
      <c r="I6433" t="s">
        <v>6548</v>
      </c>
    </row>
    <row r="6434" spans="1:9" x14ac:dyDescent="0.3">
      <c r="A6434" t="s">
        <v>10169</v>
      </c>
      <c r="B6434" t="s">
        <v>70</v>
      </c>
      <c r="C6434">
        <v>8989697390</v>
      </c>
      <c r="D6434" s="2">
        <v>1</v>
      </c>
      <c r="E6434" t="str">
        <f>"4574674200838415"</f>
        <v>4574674200838415</v>
      </c>
      <c r="F6434" t="str">
        <f>"810"</f>
        <v>810</v>
      </c>
      <c r="G6434">
        <v>1</v>
      </c>
      <c r="H6434">
        <v>2023</v>
      </c>
      <c r="I6434" t="s">
        <v>6549</v>
      </c>
    </row>
    <row r="6435" spans="1:9" x14ac:dyDescent="0.3">
      <c r="A6435" t="s">
        <v>10169</v>
      </c>
      <c r="B6435" t="s">
        <v>70</v>
      </c>
      <c r="C6435">
        <v>8989697390</v>
      </c>
      <c r="D6435" s="2">
        <v>1</v>
      </c>
      <c r="E6435" t="str">
        <f>"4574674200838431"</f>
        <v>4574674200838431</v>
      </c>
      <c r="F6435" t="str">
        <f>"306"</f>
        <v>306</v>
      </c>
      <c r="G6435">
        <v>1</v>
      </c>
      <c r="H6435">
        <v>2023</v>
      </c>
      <c r="I6435" t="s">
        <v>6550</v>
      </c>
    </row>
    <row r="6436" spans="1:9" x14ac:dyDescent="0.3">
      <c r="A6436" t="s">
        <v>10169</v>
      </c>
      <c r="B6436" t="s">
        <v>70</v>
      </c>
      <c r="C6436">
        <v>8989697390</v>
      </c>
      <c r="D6436" s="2">
        <v>1</v>
      </c>
      <c r="E6436" t="str">
        <f>"4574674200838399"</f>
        <v>4574674200838399</v>
      </c>
      <c r="F6436" t="str">
        <f>"979"</f>
        <v>979</v>
      </c>
      <c r="G6436">
        <v>1</v>
      </c>
      <c r="H6436">
        <v>2023</v>
      </c>
      <c r="I6436" t="s">
        <v>6551</v>
      </c>
    </row>
    <row r="6437" spans="1:9" x14ac:dyDescent="0.3">
      <c r="A6437" t="s">
        <v>10169</v>
      </c>
      <c r="B6437" t="s">
        <v>70</v>
      </c>
      <c r="C6437">
        <v>8989697390</v>
      </c>
      <c r="D6437" s="2">
        <v>1</v>
      </c>
      <c r="E6437" t="str">
        <f>"4574674200838639"</f>
        <v>4574674200838639</v>
      </c>
      <c r="F6437" t="str">
        <f>"001"</f>
        <v>001</v>
      </c>
      <c r="G6437">
        <v>1</v>
      </c>
      <c r="H6437">
        <v>2023</v>
      </c>
      <c r="I6437" t="s">
        <v>6552</v>
      </c>
    </row>
    <row r="6438" spans="1:9" x14ac:dyDescent="0.3">
      <c r="A6438" t="s">
        <v>10128</v>
      </c>
      <c r="B6438" t="s">
        <v>71</v>
      </c>
      <c r="C6438">
        <v>8989697390</v>
      </c>
      <c r="D6438" s="2">
        <v>1</v>
      </c>
      <c r="E6438" t="str">
        <f>"4574674200838662"</f>
        <v>4574674200838662</v>
      </c>
      <c r="F6438" t="str">
        <f>"506"</f>
        <v>506</v>
      </c>
      <c r="G6438">
        <v>1</v>
      </c>
      <c r="H6438">
        <v>2023</v>
      </c>
      <c r="I6438" t="s">
        <v>6553</v>
      </c>
    </row>
    <row r="6439" spans="1:9" x14ac:dyDescent="0.3">
      <c r="A6439" t="s">
        <v>10128</v>
      </c>
      <c r="B6439" t="s">
        <v>71</v>
      </c>
      <c r="C6439">
        <v>8989697390</v>
      </c>
      <c r="D6439" s="2">
        <v>1</v>
      </c>
      <c r="E6439" t="str">
        <f>"4574674200838498"</f>
        <v>4574674200838498</v>
      </c>
      <c r="F6439" t="str">
        <f>"673"</f>
        <v>673</v>
      </c>
      <c r="G6439">
        <v>1</v>
      </c>
      <c r="H6439">
        <v>2023</v>
      </c>
      <c r="I6439" t="s">
        <v>6554</v>
      </c>
    </row>
    <row r="6440" spans="1:9" x14ac:dyDescent="0.3">
      <c r="A6440" t="s">
        <v>10128</v>
      </c>
      <c r="B6440" t="s">
        <v>71</v>
      </c>
      <c r="C6440">
        <v>8989697390</v>
      </c>
      <c r="D6440" s="2">
        <v>1</v>
      </c>
      <c r="E6440" t="str">
        <f>"4574674200838522"</f>
        <v>4574674200838522</v>
      </c>
      <c r="F6440" t="str">
        <f>"368"</f>
        <v>368</v>
      </c>
      <c r="G6440">
        <v>1</v>
      </c>
      <c r="H6440">
        <v>2023</v>
      </c>
      <c r="I6440" t="s">
        <v>6555</v>
      </c>
    </row>
    <row r="6441" spans="1:9" x14ac:dyDescent="0.3">
      <c r="A6441" t="s">
        <v>10128</v>
      </c>
      <c r="B6441" t="s">
        <v>71</v>
      </c>
      <c r="C6441">
        <v>8989697390</v>
      </c>
      <c r="D6441" s="2">
        <v>1</v>
      </c>
      <c r="E6441" t="str">
        <f>"4574674200838746"</f>
        <v>4574674200838746</v>
      </c>
      <c r="F6441" t="str">
        <f>"174"</f>
        <v>174</v>
      </c>
      <c r="G6441">
        <v>1</v>
      </c>
      <c r="H6441">
        <v>2023</v>
      </c>
      <c r="I6441" t="s">
        <v>6556</v>
      </c>
    </row>
    <row r="6442" spans="1:9" x14ac:dyDescent="0.3">
      <c r="A6442" t="s">
        <v>10128</v>
      </c>
      <c r="B6442" t="s">
        <v>71</v>
      </c>
      <c r="C6442">
        <v>8989697390</v>
      </c>
      <c r="D6442" s="2">
        <v>1</v>
      </c>
      <c r="E6442" t="str">
        <f>"4574674200838548"</f>
        <v>4574674200838548</v>
      </c>
      <c r="F6442" t="str">
        <f>"829"</f>
        <v>829</v>
      </c>
      <c r="G6442">
        <v>1</v>
      </c>
      <c r="H6442">
        <v>2023</v>
      </c>
      <c r="I6442" t="s">
        <v>6557</v>
      </c>
    </row>
    <row r="6443" spans="1:9" x14ac:dyDescent="0.3">
      <c r="A6443" t="s">
        <v>10128</v>
      </c>
      <c r="B6443" t="s">
        <v>71</v>
      </c>
      <c r="C6443">
        <v>8989697390</v>
      </c>
      <c r="D6443" s="2">
        <v>1</v>
      </c>
      <c r="E6443" t="str">
        <f>"4574674200838787"</f>
        <v>4574674200838787</v>
      </c>
      <c r="F6443" t="str">
        <f>"827"</f>
        <v>827</v>
      </c>
      <c r="G6443">
        <v>1</v>
      </c>
      <c r="H6443">
        <v>2023</v>
      </c>
      <c r="I6443" t="s">
        <v>6558</v>
      </c>
    </row>
    <row r="6444" spans="1:9" x14ac:dyDescent="0.3">
      <c r="A6444" t="s">
        <v>10128</v>
      </c>
      <c r="B6444" t="s">
        <v>71</v>
      </c>
      <c r="C6444">
        <v>8989697390</v>
      </c>
      <c r="D6444" s="2">
        <v>1</v>
      </c>
      <c r="E6444" t="str">
        <f>"4574674200838555"</f>
        <v>4574674200838555</v>
      </c>
      <c r="F6444" t="str">
        <f>"399"</f>
        <v>399</v>
      </c>
      <c r="G6444">
        <v>1</v>
      </c>
      <c r="H6444">
        <v>2023</v>
      </c>
      <c r="I6444" t="s">
        <v>6559</v>
      </c>
    </row>
    <row r="6445" spans="1:9" x14ac:dyDescent="0.3">
      <c r="A6445" t="s">
        <v>10128</v>
      </c>
      <c r="B6445" t="s">
        <v>71</v>
      </c>
      <c r="C6445">
        <v>8989697390</v>
      </c>
      <c r="D6445" s="2">
        <v>1</v>
      </c>
      <c r="E6445" t="str">
        <f>"4574674200838845"</f>
        <v>4574674200838845</v>
      </c>
      <c r="F6445" t="str">
        <f>"614"</f>
        <v>614</v>
      </c>
      <c r="G6445">
        <v>1</v>
      </c>
      <c r="H6445">
        <v>2023</v>
      </c>
      <c r="I6445" t="s">
        <v>6560</v>
      </c>
    </row>
    <row r="6446" spans="1:9" x14ac:dyDescent="0.3">
      <c r="A6446" t="s">
        <v>10128</v>
      </c>
      <c r="B6446" t="s">
        <v>71</v>
      </c>
      <c r="C6446">
        <v>8989697390</v>
      </c>
      <c r="D6446" s="2">
        <v>1</v>
      </c>
      <c r="E6446" t="str">
        <f>"4574674200838589"</f>
        <v>4574674200838589</v>
      </c>
      <c r="F6446" t="str">
        <f>"367"</f>
        <v>367</v>
      </c>
      <c r="G6446">
        <v>1</v>
      </c>
      <c r="H6446">
        <v>2023</v>
      </c>
      <c r="I6446" t="s">
        <v>6561</v>
      </c>
    </row>
    <row r="6447" spans="1:9" x14ac:dyDescent="0.3">
      <c r="A6447" t="s">
        <v>10128</v>
      </c>
      <c r="B6447" t="s">
        <v>71</v>
      </c>
      <c r="C6447">
        <v>8989697390</v>
      </c>
      <c r="D6447" s="2">
        <v>1</v>
      </c>
      <c r="E6447" t="str">
        <f>"4574674200838928"</f>
        <v>4574674200838928</v>
      </c>
      <c r="F6447" t="str">
        <f>"593"</f>
        <v>593</v>
      </c>
      <c r="G6447">
        <v>1</v>
      </c>
      <c r="H6447">
        <v>2023</v>
      </c>
      <c r="I6447" t="s">
        <v>6562</v>
      </c>
    </row>
    <row r="6448" spans="1:9" x14ac:dyDescent="0.3">
      <c r="A6448" t="s">
        <v>10129</v>
      </c>
      <c r="B6448" t="s">
        <v>72</v>
      </c>
      <c r="C6448">
        <v>8989697390</v>
      </c>
      <c r="D6448" s="2">
        <v>1</v>
      </c>
      <c r="E6448" t="str">
        <f>"4574674200838910"</f>
        <v>4574674200838910</v>
      </c>
      <c r="F6448" t="str">
        <f>"101"</f>
        <v>101</v>
      </c>
      <c r="G6448">
        <v>1</v>
      </c>
      <c r="H6448">
        <v>2023</v>
      </c>
      <c r="I6448" t="s">
        <v>6563</v>
      </c>
    </row>
    <row r="6449" spans="1:9" x14ac:dyDescent="0.3">
      <c r="A6449" t="s">
        <v>10129</v>
      </c>
      <c r="B6449" t="s">
        <v>72</v>
      </c>
      <c r="C6449">
        <v>8989697390</v>
      </c>
      <c r="D6449" s="2">
        <v>1</v>
      </c>
      <c r="E6449" t="str">
        <f>"4574674200838977"</f>
        <v>4574674200838977</v>
      </c>
      <c r="F6449" t="str">
        <f>"937"</f>
        <v>937</v>
      </c>
      <c r="G6449">
        <v>1</v>
      </c>
      <c r="H6449">
        <v>2023</v>
      </c>
      <c r="I6449" t="s">
        <v>6564</v>
      </c>
    </row>
    <row r="6450" spans="1:9" x14ac:dyDescent="0.3">
      <c r="A6450" t="s">
        <v>10129</v>
      </c>
      <c r="B6450" t="s">
        <v>72</v>
      </c>
      <c r="C6450">
        <v>8989697390</v>
      </c>
      <c r="D6450" s="2">
        <v>1</v>
      </c>
      <c r="E6450" t="str">
        <f>"4574674200839033"</f>
        <v>4574674200839033</v>
      </c>
      <c r="F6450" t="str">
        <f>"896"</f>
        <v>896</v>
      </c>
      <c r="G6450">
        <v>1</v>
      </c>
      <c r="H6450">
        <v>2023</v>
      </c>
      <c r="I6450" t="s">
        <v>6565</v>
      </c>
    </row>
    <row r="6451" spans="1:9" x14ac:dyDescent="0.3">
      <c r="A6451" t="s">
        <v>10129</v>
      </c>
      <c r="B6451" t="s">
        <v>72</v>
      </c>
      <c r="C6451">
        <v>8989697390</v>
      </c>
      <c r="D6451" s="2">
        <v>1</v>
      </c>
      <c r="E6451" t="str">
        <f>"4574674200839058"</f>
        <v>4574674200839058</v>
      </c>
      <c r="F6451" t="str">
        <f>"780"</f>
        <v>780</v>
      </c>
      <c r="G6451">
        <v>1</v>
      </c>
      <c r="H6451">
        <v>2023</v>
      </c>
      <c r="I6451" t="s">
        <v>6566</v>
      </c>
    </row>
    <row r="6452" spans="1:9" x14ac:dyDescent="0.3">
      <c r="A6452" t="s">
        <v>10129</v>
      </c>
      <c r="B6452" t="s">
        <v>72</v>
      </c>
      <c r="C6452">
        <v>8989697390</v>
      </c>
      <c r="D6452" s="2">
        <v>1</v>
      </c>
      <c r="E6452" t="str">
        <f>"4574674200839074"</f>
        <v>4574674200839074</v>
      </c>
      <c r="F6452" t="str">
        <f>"016"</f>
        <v>016</v>
      </c>
      <c r="G6452">
        <v>1</v>
      </c>
      <c r="H6452">
        <v>2023</v>
      </c>
      <c r="I6452" t="s">
        <v>6567</v>
      </c>
    </row>
    <row r="6453" spans="1:9" x14ac:dyDescent="0.3">
      <c r="A6453" t="s">
        <v>10129</v>
      </c>
      <c r="B6453" t="s">
        <v>72</v>
      </c>
      <c r="C6453">
        <v>8989697390</v>
      </c>
      <c r="D6453" s="2">
        <v>1</v>
      </c>
      <c r="E6453" t="str">
        <f>"4574674200839272"</f>
        <v>4574674200839272</v>
      </c>
      <c r="F6453" t="str">
        <f>"108"</f>
        <v>108</v>
      </c>
      <c r="G6453">
        <v>1</v>
      </c>
      <c r="H6453">
        <v>2023</v>
      </c>
      <c r="I6453" t="s">
        <v>6568</v>
      </c>
    </row>
    <row r="6454" spans="1:9" x14ac:dyDescent="0.3">
      <c r="A6454" t="s">
        <v>10129</v>
      </c>
      <c r="B6454" t="s">
        <v>72</v>
      </c>
      <c r="C6454">
        <v>8989697390</v>
      </c>
      <c r="D6454" s="2">
        <v>1</v>
      </c>
      <c r="E6454" t="str">
        <f>"4574674200839306"</f>
        <v>4574674200839306</v>
      </c>
      <c r="F6454" t="str">
        <f>"155"</f>
        <v>155</v>
      </c>
      <c r="G6454">
        <v>1</v>
      </c>
      <c r="H6454">
        <v>2023</v>
      </c>
      <c r="I6454" t="s">
        <v>6569</v>
      </c>
    </row>
    <row r="6455" spans="1:9" x14ac:dyDescent="0.3">
      <c r="A6455" t="s">
        <v>10129</v>
      </c>
      <c r="B6455" t="s">
        <v>72</v>
      </c>
      <c r="C6455">
        <v>8989697390</v>
      </c>
      <c r="D6455" s="2">
        <v>1</v>
      </c>
      <c r="E6455" t="str">
        <f>"4574674200839108"</f>
        <v>4574674200839108</v>
      </c>
      <c r="F6455" t="str">
        <f>"710"</f>
        <v>710</v>
      </c>
      <c r="G6455">
        <v>1</v>
      </c>
      <c r="H6455">
        <v>2023</v>
      </c>
      <c r="I6455" t="s">
        <v>6570</v>
      </c>
    </row>
    <row r="6456" spans="1:9" x14ac:dyDescent="0.3">
      <c r="A6456" t="s">
        <v>10129</v>
      </c>
      <c r="B6456" t="s">
        <v>72</v>
      </c>
      <c r="C6456">
        <v>8989697390</v>
      </c>
      <c r="D6456" s="2">
        <v>1</v>
      </c>
      <c r="E6456" t="str">
        <f>"4574674200839355"</f>
        <v>4574674200839355</v>
      </c>
      <c r="F6456" t="str">
        <f>"303"</f>
        <v>303</v>
      </c>
      <c r="G6456">
        <v>1</v>
      </c>
      <c r="H6456">
        <v>2023</v>
      </c>
      <c r="I6456" t="s">
        <v>6571</v>
      </c>
    </row>
    <row r="6457" spans="1:9" x14ac:dyDescent="0.3">
      <c r="A6457" t="s">
        <v>10129</v>
      </c>
      <c r="B6457" t="s">
        <v>72</v>
      </c>
      <c r="C6457">
        <v>8989697390</v>
      </c>
      <c r="D6457" s="2">
        <v>1</v>
      </c>
      <c r="E6457" t="str">
        <f>"4574674200839454"</f>
        <v>4574674200839454</v>
      </c>
      <c r="F6457" t="str">
        <f>"372"</f>
        <v>372</v>
      </c>
      <c r="G6457">
        <v>1</v>
      </c>
      <c r="H6457">
        <v>2023</v>
      </c>
      <c r="I6457" t="s">
        <v>6572</v>
      </c>
    </row>
    <row r="6458" spans="1:9" x14ac:dyDescent="0.3">
      <c r="A6458" t="s">
        <v>10170</v>
      </c>
      <c r="B6458" t="s">
        <v>73</v>
      </c>
      <c r="C6458">
        <v>8989697390</v>
      </c>
      <c r="D6458" s="2">
        <v>1</v>
      </c>
      <c r="E6458" t="str">
        <f>"4574674200839462"</f>
        <v>4574674200839462</v>
      </c>
      <c r="F6458" t="str">
        <f>"474"</f>
        <v>474</v>
      </c>
      <c r="G6458">
        <v>1</v>
      </c>
      <c r="H6458">
        <v>2023</v>
      </c>
      <c r="I6458" t="s">
        <v>6573</v>
      </c>
    </row>
    <row r="6459" spans="1:9" x14ac:dyDescent="0.3">
      <c r="A6459" t="s">
        <v>10170</v>
      </c>
      <c r="B6459" t="s">
        <v>73</v>
      </c>
      <c r="C6459">
        <v>8989697390</v>
      </c>
      <c r="D6459" s="2">
        <v>1</v>
      </c>
      <c r="E6459" t="str">
        <f>"4574674200839140"</f>
        <v>4574674200839140</v>
      </c>
      <c r="F6459" t="str">
        <f>"637"</f>
        <v>637</v>
      </c>
      <c r="G6459">
        <v>1</v>
      </c>
      <c r="H6459">
        <v>2023</v>
      </c>
      <c r="I6459" t="s">
        <v>6574</v>
      </c>
    </row>
    <row r="6460" spans="1:9" x14ac:dyDescent="0.3">
      <c r="A6460" t="s">
        <v>10170</v>
      </c>
      <c r="B6460" t="s">
        <v>73</v>
      </c>
      <c r="C6460">
        <v>8989697390</v>
      </c>
      <c r="D6460" s="2">
        <v>1</v>
      </c>
      <c r="E6460" t="str">
        <f>"4574674200839157"</f>
        <v>4574674200839157</v>
      </c>
      <c r="F6460" t="str">
        <f>"007"</f>
        <v>007</v>
      </c>
      <c r="G6460">
        <v>1</v>
      </c>
      <c r="H6460">
        <v>2023</v>
      </c>
      <c r="I6460" t="s">
        <v>6575</v>
      </c>
    </row>
    <row r="6461" spans="1:9" x14ac:dyDescent="0.3">
      <c r="A6461" t="s">
        <v>10170</v>
      </c>
      <c r="B6461" t="s">
        <v>73</v>
      </c>
      <c r="C6461">
        <v>8989697390</v>
      </c>
      <c r="D6461" s="2">
        <v>1</v>
      </c>
      <c r="E6461" t="str">
        <f>"4574674200839488"</f>
        <v>4574674200839488</v>
      </c>
      <c r="F6461" t="str">
        <f>"221"</f>
        <v>221</v>
      </c>
      <c r="G6461">
        <v>1</v>
      </c>
      <c r="H6461">
        <v>2023</v>
      </c>
      <c r="I6461" t="s">
        <v>6576</v>
      </c>
    </row>
    <row r="6462" spans="1:9" x14ac:dyDescent="0.3">
      <c r="A6462" t="s">
        <v>10170</v>
      </c>
      <c r="B6462" t="s">
        <v>73</v>
      </c>
      <c r="C6462">
        <v>8989697390</v>
      </c>
      <c r="D6462" s="2">
        <v>1</v>
      </c>
      <c r="E6462" t="str">
        <f>"4574674200839199"</f>
        <v>4574674200839199</v>
      </c>
      <c r="F6462" t="str">
        <f>"924"</f>
        <v>924</v>
      </c>
      <c r="G6462">
        <v>1</v>
      </c>
      <c r="H6462">
        <v>2023</v>
      </c>
      <c r="I6462" t="s">
        <v>6577</v>
      </c>
    </row>
    <row r="6463" spans="1:9" x14ac:dyDescent="0.3">
      <c r="A6463" t="s">
        <v>10170</v>
      </c>
      <c r="B6463" t="s">
        <v>73</v>
      </c>
      <c r="C6463">
        <v>8989697390</v>
      </c>
      <c r="D6463" s="2">
        <v>1</v>
      </c>
      <c r="E6463" t="str">
        <f>"4574674200839587"</f>
        <v>4574674200839587</v>
      </c>
      <c r="F6463" t="str">
        <f>"258"</f>
        <v>258</v>
      </c>
      <c r="G6463">
        <v>1</v>
      </c>
      <c r="H6463">
        <v>2023</v>
      </c>
      <c r="I6463" t="s">
        <v>6578</v>
      </c>
    </row>
    <row r="6464" spans="1:9" x14ac:dyDescent="0.3">
      <c r="A6464" t="s">
        <v>10170</v>
      </c>
      <c r="B6464" t="s">
        <v>73</v>
      </c>
      <c r="C6464">
        <v>8989697390</v>
      </c>
      <c r="D6464" s="2">
        <v>1</v>
      </c>
      <c r="E6464" t="str">
        <f>"4574674200839603"</f>
        <v>4574674200839603</v>
      </c>
      <c r="F6464" t="str">
        <f>"131"</f>
        <v>131</v>
      </c>
      <c r="G6464">
        <v>1</v>
      </c>
      <c r="H6464">
        <v>2023</v>
      </c>
      <c r="I6464" t="s">
        <v>6579</v>
      </c>
    </row>
    <row r="6465" spans="1:9" x14ac:dyDescent="0.3">
      <c r="A6465" t="s">
        <v>10170</v>
      </c>
      <c r="B6465" t="s">
        <v>73</v>
      </c>
      <c r="C6465">
        <v>8989697390</v>
      </c>
      <c r="D6465" s="2">
        <v>1</v>
      </c>
      <c r="E6465" t="str">
        <f>"4574674200839819"</f>
        <v>4574674200839819</v>
      </c>
      <c r="F6465" t="str">
        <f>"826"</f>
        <v>826</v>
      </c>
      <c r="G6465">
        <v>1</v>
      </c>
      <c r="H6465">
        <v>2023</v>
      </c>
      <c r="I6465" t="s">
        <v>6580</v>
      </c>
    </row>
    <row r="6466" spans="1:9" x14ac:dyDescent="0.3">
      <c r="A6466" t="s">
        <v>10170</v>
      </c>
      <c r="B6466" t="s">
        <v>73</v>
      </c>
      <c r="C6466">
        <v>8989697390</v>
      </c>
      <c r="D6466" s="2">
        <v>1</v>
      </c>
      <c r="E6466" t="str">
        <f>"4574674200839678"</f>
        <v>4574674200839678</v>
      </c>
      <c r="F6466" t="str">
        <f>"983"</f>
        <v>983</v>
      </c>
      <c r="G6466">
        <v>1</v>
      </c>
      <c r="H6466">
        <v>2023</v>
      </c>
      <c r="I6466" t="s">
        <v>6581</v>
      </c>
    </row>
    <row r="6467" spans="1:9" x14ac:dyDescent="0.3">
      <c r="A6467" t="s">
        <v>10170</v>
      </c>
      <c r="B6467" t="s">
        <v>73</v>
      </c>
      <c r="C6467">
        <v>8989697390</v>
      </c>
      <c r="D6467" s="2">
        <v>1</v>
      </c>
      <c r="E6467" t="str">
        <f>"4574674200839843"</f>
        <v>4574674200839843</v>
      </c>
      <c r="F6467" t="str">
        <f>"401"</f>
        <v>401</v>
      </c>
      <c r="G6467">
        <v>1</v>
      </c>
      <c r="H6467">
        <v>2023</v>
      </c>
      <c r="I6467" t="s">
        <v>6582</v>
      </c>
    </row>
    <row r="6468" spans="1:9" x14ac:dyDescent="0.3">
      <c r="A6468" t="s">
        <v>10171</v>
      </c>
      <c r="B6468" t="s">
        <v>74</v>
      </c>
      <c r="C6468">
        <v>8989697390</v>
      </c>
      <c r="D6468" s="2">
        <v>1</v>
      </c>
      <c r="E6468" t="str">
        <f>"4574674200839876"</f>
        <v>4574674200839876</v>
      </c>
      <c r="F6468" t="str">
        <f>"434"</f>
        <v>434</v>
      </c>
      <c r="G6468">
        <v>1</v>
      </c>
      <c r="H6468">
        <v>2023</v>
      </c>
      <c r="I6468" t="s">
        <v>6583</v>
      </c>
    </row>
    <row r="6469" spans="1:9" x14ac:dyDescent="0.3">
      <c r="A6469" t="s">
        <v>10171</v>
      </c>
      <c r="B6469" t="s">
        <v>74</v>
      </c>
      <c r="C6469">
        <v>8989697390</v>
      </c>
      <c r="D6469" s="2">
        <v>1</v>
      </c>
      <c r="E6469" t="str">
        <f>"4574674200839710"</f>
        <v>4574674200839710</v>
      </c>
      <c r="F6469" t="str">
        <f>"951"</f>
        <v>951</v>
      </c>
      <c r="G6469">
        <v>1</v>
      </c>
      <c r="H6469">
        <v>2023</v>
      </c>
      <c r="I6469" t="s">
        <v>6584</v>
      </c>
    </row>
    <row r="6470" spans="1:9" x14ac:dyDescent="0.3">
      <c r="A6470" t="s">
        <v>10171</v>
      </c>
      <c r="B6470" t="s">
        <v>74</v>
      </c>
      <c r="C6470">
        <v>8989697390</v>
      </c>
      <c r="D6470" s="2">
        <v>1</v>
      </c>
      <c r="E6470" t="str">
        <f>"4574674200839777"</f>
        <v>4574674200839777</v>
      </c>
      <c r="F6470" t="str">
        <f>"438"</f>
        <v>438</v>
      </c>
      <c r="G6470">
        <v>1</v>
      </c>
      <c r="H6470">
        <v>2023</v>
      </c>
      <c r="I6470" t="s">
        <v>6585</v>
      </c>
    </row>
    <row r="6471" spans="1:9" x14ac:dyDescent="0.3">
      <c r="A6471" t="s">
        <v>10171</v>
      </c>
      <c r="B6471" t="s">
        <v>74</v>
      </c>
      <c r="C6471">
        <v>8989697390</v>
      </c>
      <c r="D6471" s="2">
        <v>1</v>
      </c>
      <c r="E6471" t="str">
        <f>"4574674200839918"</f>
        <v>4574674200839918</v>
      </c>
      <c r="F6471" t="str">
        <f>"508"</f>
        <v>508</v>
      </c>
      <c r="G6471">
        <v>1</v>
      </c>
      <c r="H6471">
        <v>2023</v>
      </c>
      <c r="I6471" t="s">
        <v>6586</v>
      </c>
    </row>
    <row r="6472" spans="1:9" x14ac:dyDescent="0.3">
      <c r="A6472" t="s">
        <v>10171</v>
      </c>
      <c r="B6472" t="s">
        <v>74</v>
      </c>
      <c r="C6472">
        <v>8989697390</v>
      </c>
      <c r="D6472" s="2">
        <v>1</v>
      </c>
      <c r="E6472" t="str">
        <f>"4574674200840007"</f>
        <v>4574674200840007</v>
      </c>
      <c r="F6472" t="str">
        <f>"755"</f>
        <v>755</v>
      </c>
      <c r="G6472">
        <v>1</v>
      </c>
      <c r="H6472">
        <v>2023</v>
      </c>
      <c r="I6472" t="s">
        <v>6587</v>
      </c>
    </row>
    <row r="6473" spans="1:9" x14ac:dyDescent="0.3">
      <c r="A6473" t="s">
        <v>10171</v>
      </c>
      <c r="B6473" t="s">
        <v>74</v>
      </c>
      <c r="C6473">
        <v>8989697390</v>
      </c>
      <c r="D6473" s="2">
        <v>1</v>
      </c>
      <c r="E6473" t="str">
        <f>"4574674200839926"</f>
        <v>4574674200839926</v>
      </c>
      <c r="F6473" t="str">
        <f>"700"</f>
        <v>700</v>
      </c>
      <c r="G6473">
        <v>1</v>
      </c>
      <c r="H6473">
        <v>2023</v>
      </c>
      <c r="I6473" t="s">
        <v>6588</v>
      </c>
    </row>
    <row r="6474" spans="1:9" x14ac:dyDescent="0.3">
      <c r="A6474" t="s">
        <v>10171</v>
      </c>
      <c r="B6474" t="s">
        <v>74</v>
      </c>
      <c r="C6474">
        <v>8989697390</v>
      </c>
      <c r="D6474" s="2">
        <v>1</v>
      </c>
      <c r="E6474" t="str">
        <f>"4574674200840080"</f>
        <v>4574674200840080</v>
      </c>
      <c r="F6474" t="str">
        <f>"463"</f>
        <v>463</v>
      </c>
      <c r="G6474">
        <v>1</v>
      </c>
      <c r="H6474">
        <v>2023</v>
      </c>
      <c r="I6474" t="s">
        <v>6589</v>
      </c>
    </row>
    <row r="6475" spans="1:9" x14ac:dyDescent="0.3">
      <c r="A6475" t="s">
        <v>10171</v>
      </c>
      <c r="B6475" t="s">
        <v>74</v>
      </c>
      <c r="C6475">
        <v>8989697390</v>
      </c>
      <c r="D6475" s="2">
        <v>1</v>
      </c>
      <c r="E6475" t="str">
        <f>"4574674200839975"</f>
        <v>4574674200839975</v>
      </c>
      <c r="F6475" t="str">
        <f>"289"</f>
        <v>289</v>
      </c>
      <c r="G6475">
        <v>1</v>
      </c>
      <c r="H6475">
        <v>2023</v>
      </c>
      <c r="I6475" t="s">
        <v>6590</v>
      </c>
    </row>
    <row r="6476" spans="1:9" x14ac:dyDescent="0.3">
      <c r="A6476" t="s">
        <v>10171</v>
      </c>
      <c r="B6476" t="s">
        <v>74</v>
      </c>
      <c r="C6476">
        <v>8989697390</v>
      </c>
      <c r="D6476" s="2">
        <v>1</v>
      </c>
      <c r="E6476" t="str">
        <f>"4574674200840148"</f>
        <v>4574674200840148</v>
      </c>
      <c r="F6476" t="str">
        <f>"767"</f>
        <v>767</v>
      </c>
      <c r="G6476">
        <v>1</v>
      </c>
      <c r="H6476">
        <v>2023</v>
      </c>
      <c r="I6476" t="s">
        <v>6591</v>
      </c>
    </row>
    <row r="6477" spans="1:9" x14ac:dyDescent="0.3">
      <c r="A6477" t="s">
        <v>10171</v>
      </c>
      <c r="B6477" t="s">
        <v>74</v>
      </c>
      <c r="C6477">
        <v>8989697390</v>
      </c>
      <c r="D6477" s="2">
        <v>1</v>
      </c>
      <c r="E6477" t="str">
        <f>"4574674200840171"</f>
        <v>4574674200840171</v>
      </c>
      <c r="F6477" t="str">
        <f>"560"</f>
        <v>560</v>
      </c>
      <c r="G6477">
        <v>1</v>
      </c>
      <c r="H6477">
        <v>2023</v>
      </c>
      <c r="I6477" t="s">
        <v>6592</v>
      </c>
    </row>
    <row r="6478" spans="1:9" x14ac:dyDescent="0.3">
      <c r="A6478" t="s">
        <v>10136</v>
      </c>
      <c r="B6478" t="s">
        <v>81</v>
      </c>
      <c r="C6478">
        <v>9406582649</v>
      </c>
      <c r="D6478" s="2">
        <v>1</v>
      </c>
      <c r="E6478" t="str">
        <f>"4574674200839983"</f>
        <v>4574674200839983</v>
      </c>
      <c r="F6478" t="str">
        <f>"638"</f>
        <v>638</v>
      </c>
      <c r="G6478">
        <v>1</v>
      </c>
      <c r="H6478">
        <v>2023</v>
      </c>
      <c r="I6478" t="s">
        <v>6593</v>
      </c>
    </row>
    <row r="6479" spans="1:9" x14ac:dyDescent="0.3">
      <c r="A6479" t="s">
        <v>10136</v>
      </c>
      <c r="B6479" t="s">
        <v>81</v>
      </c>
      <c r="C6479">
        <v>9406582649</v>
      </c>
      <c r="D6479" s="2">
        <v>1</v>
      </c>
      <c r="E6479" t="str">
        <f>"4574674200840205"</f>
        <v>4574674200840205</v>
      </c>
      <c r="F6479" t="str">
        <f>"486"</f>
        <v>486</v>
      </c>
      <c r="G6479">
        <v>1</v>
      </c>
      <c r="H6479">
        <v>2023</v>
      </c>
      <c r="I6479" t="s">
        <v>6594</v>
      </c>
    </row>
    <row r="6480" spans="1:9" x14ac:dyDescent="0.3">
      <c r="A6480" t="s">
        <v>10136</v>
      </c>
      <c r="B6480" t="s">
        <v>81</v>
      </c>
      <c r="C6480">
        <v>9406582649</v>
      </c>
      <c r="D6480" s="2">
        <v>1</v>
      </c>
      <c r="E6480" t="str">
        <f>"4574674200840445"</f>
        <v>4574674200840445</v>
      </c>
      <c r="F6480" t="str">
        <f>"082"</f>
        <v>082</v>
      </c>
      <c r="G6480">
        <v>1</v>
      </c>
      <c r="H6480">
        <v>2023</v>
      </c>
      <c r="I6480" t="s">
        <v>6595</v>
      </c>
    </row>
    <row r="6481" spans="1:9" x14ac:dyDescent="0.3">
      <c r="A6481" t="s">
        <v>10136</v>
      </c>
      <c r="B6481" t="s">
        <v>81</v>
      </c>
      <c r="C6481">
        <v>9406582649</v>
      </c>
      <c r="D6481" s="2">
        <v>1</v>
      </c>
      <c r="E6481" t="str">
        <f>"4574674200840247"</f>
        <v>4574674200840247</v>
      </c>
      <c r="F6481" t="str">
        <f>"492"</f>
        <v>492</v>
      </c>
      <c r="G6481">
        <v>1</v>
      </c>
      <c r="H6481">
        <v>2023</v>
      </c>
      <c r="I6481" t="s">
        <v>6596</v>
      </c>
    </row>
    <row r="6482" spans="1:9" x14ac:dyDescent="0.3">
      <c r="A6482" t="s">
        <v>10136</v>
      </c>
      <c r="B6482" t="s">
        <v>81</v>
      </c>
      <c r="C6482">
        <v>9406582649</v>
      </c>
      <c r="D6482" s="2">
        <v>1</v>
      </c>
      <c r="E6482" t="str">
        <f>"4574674200840478"</f>
        <v>4574674200840478</v>
      </c>
      <c r="F6482" t="str">
        <f>"416"</f>
        <v>416</v>
      </c>
      <c r="G6482">
        <v>1</v>
      </c>
      <c r="H6482">
        <v>2023</v>
      </c>
      <c r="I6482" t="s">
        <v>6597</v>
      </c>
    </row>
    <row r="6483" spans="1:9" x14ac:dyDescent="0.3">
      <c r="A6483" t="s">
        <v>10136</v>
      </c>
      <c r="B6483" t="s">
        <v>81</v>
      </c>
      <c r="C6483">
        <v>9406582649</v>
      </c>
      <c r="D6483" s="2">
        <v>1</v>
      </c>
      <c r="E6483" t="str">
        <f>"4574674200840486"</f>
        <v>4574674200840486</v>
      </c>
      <c r="F6483" t="str">
        <f>"101"</f>
        <v>101</v>
      </c>
      <c r="G6483">
        <v>1</v>
      </c>
      <c r="H6483">
        <v>2023</v>
      </c>
      <c r="I6483" t="s">
        <v>6598</v>
      </c>
    </row>
    <row r="6484" spans="1:9" x14ac:dyDescent="0.3">
      <c r="A6484" t="s">
        <v>10136</v>
      </c>
      <c r="B6484" t="s">
        <v>81</v>
      </c>
      <c r="C6484">
        <v>9406582649</v>
      </c>
      <c r="D6484" s="2">
        <v>1</v>
      </c>
      <c r="E6484" t="str">
        <f>"4574674200840288"</f>
        <v>4574674200840288</v>
      </c>
      <c r="F6484" t="str">
        <f>"076"</f>
        <v>076</v>
      </c>
      <c r="G6484">
        <v>1</v>
      </c>
      <c r="H6484">
        <v>2023</v>
      </c>
      <c r="I6484" t="s">
        <v>6599</v>
      </c>
    </row>
    <row r="6485" spans="1:9" x14ac:dyDescent="0.3">
      <c r="A6485" t="s">
        <v>10136</v>
      </c>
      <c r="B6485" t="s">
        <v>81</v>
      </c>
      <c r="C6485">
        <v>9406582649</v>
      </c>
      <c r="D6485" s="2">
        <v>1</v>
      </c>
      <c r="E6485" t="str">
        <f>"4574674200840593"</f>
        <v>4574674200840593</v>
      </c>
      <c r="F6485" t="str">
        <f>"918"</f>
        <v>918</v>
      </c>
      <c r="G6485">
        <v>1</v>
      </c>
      <c r="H6485">
        <v>2023</v>
      </c>
      <c r="I6485" t="s">
        <v>6600</v>
      </c>
    </row>
    <row r="6486" spans="1:9" x14ac:dyDescent="0.3">
      <c r="A6486" t="s">
        <v>10136</v>
      </c>
      <c r="B6486" t="s">
        <v>81</v>
      </c>
      <c r="C6486">
        <v>9406582649</v>
      </c>
      <c r="D6486" s="2">
        <v>1</v>
      </c>
      <c r="E6486" t="str">
        <f>"4574674200840304"</f>
        <v>4574674200840304</v>
      </c>
      <c r="F6486" t="str">
        <f>"356"</f>
        <v>356</v>
      </c>
      <c r="G6486">
        <v>1</v>
      </c>
      <c r="H6486">
        <v>2023</v>
      </c>
      <c r="I6486" t="s">
        <v>6601</v>
      </c>
    </row>
    <row r="6487" spans="1:9" x14ac:dyDescent="0.3">
      <c r="A6487" t="s">
        <v>10136</v>
      </c>
      <c r="B6487" t="s">
        <v>81</v>
      </c>
      <c r="C6487">
        <v>9406582649</v>
      </c>
      <c r="D6487" s="2">
        <v>1</v>
      </c>
      <c r="E6487" t="str">
        <f>"4574674200840668"</f>
        <v>4574674200840668</v>
      </c>
      <c r="F6487" t="str">
        <f>"119"</f>
        <v>119</v>
      </c>
      <c r="G6487">
        <v>1</v>
      </c>
      <c r="H6487">
        <v>2023</v>
      </c>
      <c r="I6487" t="s">
        <v>6602</v>
      </c>
    </row>
    <row r="6488" spans="1:9" x14ac:dyDescent="0.3">
      <c r="A6488" t="s">
        <v>10137</v>
      </c>
      <c r="B6488" t="s">
        <v>82</v>
      </c>
      <c r="C6488">
        <v>9406582649</v>
      </c>
      <c r="D6488" s="2">
        <v>1</v>
      </c>
      <c r="E6488" t="str">
        <f>"4574674200840676"</f>
        <v>4574674200840676</v>
      </c>
      <c r="F6488" t="str">
        <f>"633"</f>
        <v>633</v>
      </c>
      <c r="G6488">
        <v>1</v>
      </c>
      <c r="H6488">
        <v>2023</v>
      </c>
      <c r="I6488" t="s">
        <v>6603</v>
      </c>
    </row>
    <row r="6489" spans="1:9" x14ac:dyDescent="0.3">
      <c r="A6489" t="s">
        <v>10137</v>
      </c>
      <c r="B6489" t="s">
        <v>82</v>
      </c>
      <c r="C6489">
        <v>9406582649</v>
      </c>
      <c r="D6489" s="2">
        <v>1</v>
      </c>
      <c r="E6489" t="str">
        <f>"4574674200840338"</f>
        <v>4574674200840338</v>
      </c>
      <c r="F6489" t="str">
        <f>"573"</f>
        <v>573</v>
      </c>
      <c r="G6489">
        <v>1</v>
      </c>
      <c r="H6489">
        <v>2023</v>
      </c>
      <c r="I6489" t="s">
        <v>6604</v>
      </c>
    </row>
    <row r="6490" spans="1:9" x14ac:dyDescent="0.3">
      <c r="A6490" t="s">
        <v>10137</v>
      </c>
      <c r="B6490" t="s">
        <v>82</v>
      </c>
      <c r="C6490">
        <v>9406582649</v>
      </c>
      <c r="D6490" s="2">
        <v>1</v>
      </c>
      <c r="E6490" t="str">
        <f>"4574674200840353"</f>
        <v>4574674200840353</v>
      </c>
      <c r="F6490" t="str">
        <f>"364"</f>
        <v>364</v>
      </c>
      <c r="G6490">
        <v>1</v>
      </c>
      <c r="H6490">
        <v>2023</v>
      </c>
      <c r="I6490" t="s">
        <v>6605</v>
      </c>
    </row>
    <row r="6491" spans="1:9" x14ac:dyDescent="0.3">
      <c r="A6491" t="s">
        <v>10137</v>
      </c>
      <c r="B6491" t="s">
        <v>82</v>
      </c>
      <c r="C6491">
        <v>9406582649</v>
      </c>
      <c r="D6491" s="2">
        <v>1</v>
      </c>
      <c r="E6491" t="str">
        <f>"4574674200840759"</f>
        <v>4574674200840759</v>
      </c>
      <c r="F6491" t="str">
        <f>"568"</f>
        <v>568</v>
      </c>
      <c r="G6491">
        <v>1</v>
      </c>
      <c r="H6491">
        <v>2023</v>
      </c>
      <c r="I6491" t="s">
        <v>6606</v>
      </c>
    </row>
    <row r="6492" spans="1:9" x14ac:dyDescent="0.3">
      <c r="A6492" t="s">
        <v>10137</v>
      </c>
      <c r="B6492" t="s">
        <v>82</v>
      </c>
      <c r="C6492">
        <v>9406582649</v>
      </c>
      <c r="D6492" s="2">
        <v>1</v>
      </c>
      <c r="E6492" t="str">
        <f>"4574674200840395"</f>
        <v>4574674200840395</v>
      </c>
      <c r="F6492" t="str">
        <f>"632"</f>
        <v>632</v>
      </c>
      <c r="G6492">
        <v>1</v>
      </c>
      <c r="H6492">
        <v>2023</v>
      </c>
      <c r="I6492" t="s">
        <v>6607</v>
      </c>
    </row>
    <row r="6493" spans="1:9" x14ac:dyDescent="0.3">
      <c r="A6493" t="s">
        <v>10137</v>
      </c>
      <c r="B6493" t="s">
        <v>82</v>
      </c>
      <c r="C6493">
        <v>9406582649</v>
      </c>
      <c r="D6493" s="2">
        <v>1</v>
      </c>
      <c r="E6493" t="str">
        <f>"4574674200840783"</f>
        <v>4574674200840783</v>
      </c>
      <c r="F6493" t="str">
        <f>"893"</f>
        <v>893</v>
      </c>
      <c r="G6493">
        <v>1</v>
      </c>
      <c r="H6493">
        <v>2023</v>
      </c>
      <c r="I6493" t="s">
        <v>6608</v>
      </c>
    </row>
    <row r="6494" spans="1:9" x14ac:dyDescent="0.3">
      <c r="A6494" t="s">
        <v>10137</v>
      </c>
      <c r="B6494" t="s">
        <v>82</v>
      </c>
      <c r="C6494">
        <v>9406582649</v>
      </c>
      <c r="D6494" s="2">
        <v>1</v>
      </c>
      <c r="E6494" t="str">
        <f>"4574674200841039"</f>
        <v>4574674200841039</v>
      </c>
      <c r="F6494" t="str">
        <f>"962"</f>
        <v>962</v>
      </c>
      <c r="G6494">
        <v>1</v>
      </c>
      <c r="H6494">
        <v>2023</v>
      </c>
      <c r="I6494" t="s">
        <v>6609</v>
      </c>
    </row>
    <row r="6495" spans="1:9" x14ac:dyDescent="0.3">
      <c r="A6495" t="s">
        <v>10137</v>
      </c>
      <c r="B6495" t="s">
        <v>82</v>
      </c>
      <c r="C6495">
        <v>9406582649</v>
      </c>
      <c r="D6495" s="2">
        <v>1</v>
      </c>
      <c r="E6495" t="str">
        <f>"4574674200840825"</f>
        <v>4574674200840825</v>
      </c>
      <c r="F6495" t="str">
        <f>"415"</f>
        <v>415</v>
      </c>
      <c r="G6495">
        <v>1</v>
      </c>
      <c r="H6495">
        <v>2023</v>
      </c>
      <c r="I6495" t="s">
        <v>6610</v>
      </c>
    </row>
    <row r="6496" spans="1:9" x14ac:dyDescent="0.3">
      <c r="A6496" t="s">
        <v>10137</v>
      </c>
      <c r="B6496" t="s">
        <v>82</v>
      </c>
      <c r="C6496">
        <v>9406582649</v>
      </c>
      <c r="D6496" s="2">
        <v>1</v>
      </c>
      <c r="E6496" t="str">
        <f>"4574674200841088"</f>
        <v>4574674200841088</v>
      </c>
      <c r="F6496" t="str">
        <f>"885"</f>
        <v>885</v>
      </c>
      <c r="G6496">
        <v>1</v>
      </c>
      <c r="H6496">
        <v>2023</v>
      </c>
      <c r="I6496" t="s">
        <v>6611</v>
      </c>
    </row>
    <row r="6497" spans="1:9" x14ac:dyDescent="0.3">
      <c r="A6497" t="s">
        <v>10137</v>
      </c>
      <c r="B6497" t="s">
        <v>82</v>
      </c>
      <c r="C6497">
        <v>9406582649</v>
      </c>
      <c r="D6497" s="2">
        <v>1</v>
      </c>
      <c r="E6497" t="str">
        <f>"4574674200840866"</f>
        <v>4574674200840866</v>
      </c>
      <c r="F6497" t="str">
        <f>"898"</f>
        <v>898</v>
      </c>
      <c r="G6497">
        <v>1</v>
      </c>
      <c r="H6497">
        <v>2023</v>
      </c>
      <c r="I6497" t="s">
        <v>6612</v>
      </c>
    </row>
    <row r="6498" spans="1:9" x14ac:dyDescent="0.3">
      <c r="A6498" t="s">
        <v>10138</v>
      </c>
      <c r="B6498" t="s">
        <v>83</v>
      </c>
      <c r="C6498">
        <v>9406582649</v>
      </c>
      <c r="D6498" s="2">
        <v>1</v>
      </c>
      <c r="E6498" t="str">
        <f>"4574674200840882"</f>
        <v>4574674200840882</v>
      </c>
      <c r="F6498" t="str">
        <f>"437"</f>
        <v>437</v>
      </c>
      <c r="G6498">
        <v>1</v>
      </c>
      <c r="H6498">
        <v>2023</v>
      </c>
      <c r="I6498" t="s">
        <v>6613</v>
      </c>
    </row>
    <row r="6499" spans="1:9" x14ac:dyDescent="0.3">
      <c r="A6499" t="s">
        <v>10138</v>
      </c>
      <c r="B6499" t="s">
        <v>83</v>
      </c>
      <c r="C6499">
        <v>9406582649</v>
      </c>
      <c r="D6499" s="2">
        <v>1</v>
      </c>
      <c r="E6499" t="str">
        <f>"4574674200841187"</f>
        <v>4574674200841187</v>
      </c>
      <c r="F6499" t="str">
        <f>"639"</f>
        <v>639</v>
      </c>
      <c r="G6499">
        <v>1</v>
      </c>
      <c r="H6499">
        <v>2023</v>
      </c>
      <c r="I6499" t="s">
        <v>6614</v>
      </c>
    </row>
    <row r="6500" spans="1:9" x14ac:dyDescent="0.3">
      <c r="A6500" t="s">
        <v>10138</v>
      </c>
      <c r="B6500" t="s">
        <v>83</v>
      </c>
      <c r="C6500">
        <v>9406582649</v>
      </c>
      <c r="D6500" s="2">
        <v>1</v>
      </c>
      <c r="E6500" t="str">
        <f>"4574674200841211"</f>
        <v>4574674200841211</v>
      </c>
      <c r="F6500" t="str">
        <f>"398"</f>
        <v>398</v>
      </c>
      <c r="G6500">
        <v>1</v>
      </c>
      <c r="H6500">
        <v>2023</v>
      </c>
      <c r="I6500" t="s">
        <v>6615</v>
      </c>
    </row>
    <row r="6501" spans="1:9" x14ac:dyDescent="0.3">
      <c r="A6501" t="s">
        <v>10138</v>
      </c>
      <c r="B6501" t="s">
        <v>83</v>
      </c>
      <c r="C6501">
        <v>9406582649</v>
      </c>
      <c r="D6501" s="2">
        <v>1</v>
      </c>
      <c r="E6501" t="str">
        <f>"4574674200840908"</f>
        <v>4574674200840908</v>
      </c>
      <c r="F6501" t="str">
        <f>"162"</f>
        <v>162</v>
      </c>
      <c r="G6501">
        <v>1</v>
      </c>
      <c r="H6501">
        <v>2023</v>
      </c>
      <c r="I6501" t="s">
        <v>6616</v>
      </c>
    </row>
    <row r="6502" spans="1:9" x14ac:dyDescent="0.3">
      <c r="A6502" t="s">
        <v>10138</v>
      </c>
      <c r="B6502" t="s">
        <v>83</v>
      </c>
      <c r="C6502">
        <v>9406582649</v>
      </c>
      <c r="D6502" s="2">
        <v>1</v>
      </c>
      <c r="E6502" t="str">
        <f>"4574674200841245"</f>
        <v>4574674200841245</v>
      </c>
      <c r="F6502" t="str">
        <f>"632"</f>
        <v>632</v>
      </c>
      <c r="G6502">
        <v>1</v>
      </c>
      <c r="H6502">
        <v>2023</v>
      </c>
      <c r="I6502" t="s">
        <v>6617</v>
      </c>
    </row>
    <row r="6503" spans="1:9" x14ac:dyDescent="0.3">
      <c r="A6503" t="s">
        <v>10138</v>
      </c>
      <c r="B6503" t="s">
        <v>83</v>
      </c>
      <c r="C6503">
        <v>9406582649</v>
      </c>
      <c r="D6503" s="2">
        <v>1</v>
      </c>
      <c r="E6503" t="str">
        <f>"4574674200840940"</f>
        <v>4574674200840940</v>
      </c>
      <c r="F6503" t="str">
        <f>"065"</f>
        <v>065</v>
      </c>
      <c r="G6503">
        <v>1</v>
      </c>
      <c r="H6503">
        <v>2023</v>
      </c>
      <c r="I6503" t="s">
        <v>6618</v>
      </c>
    </row>
    <row r="6504" spans="1:9" x14ac:dyDescent="0.3">
      <c r="A6504" t="s">
        <v>10138</v>
      </c>
      <c r="B6504" t="s">
        <v>83</v>
      </c>
      <c r="C6504">
        <v>9406582649</v>
      </c>
      <c r="D6504" s="2">
        <v>1</v>
      </c>
      <c r="E6504" t="str">
        <f>"4574674200841344"</f>
        <v>4574674200841344</v>
      </c>
      <c r="F6504" t="str">
        <f>"427"</f>
        <v>427</v>
      </c>
      <c r="G6504">
        <v>1</v>
      </c>
      <c r="H6504">
        <v>2023</v>
      </c>
      <c r="I6504" t="s">
        <v>6619</v>
      </c>
    </row>
    <row r="6505" spans="1:9" x14ac:dyDescent="0.3">
      <c r="A6505" t="s">
        <v>10138</v>
      </c>
      <c r="B6505" t="s">
        <v>83</v>
      </c>
      <c r="C6505">
        <v>9406582649</v>
      </c>
      <c r="D6505" s="2">
        <v>1</v>
      </c>
      <c r="E6505" t="str">
        <f>"4574674200840981"</f>
        <v>4574674200840981</v>
      </c>
      <c r="F6505" t="str">
        <f>"422"</f>
        <v>422</v>
      </c>
      <c r="G6505">
        <v>1</v>
      </c>
      <c r="H6505">
        <v>2023</v>
      </c>
      <c r="I6505" t="s">
        <v>6620</v>
      </c>
    </row>
    <row r="6506" spans="1:9" x14ac:dyDescent="0.3">
      <c r="A6506" t="s">
        <v>10138</v>
      </c>
      <c r="B6506" t="s">
        <v>83</v>
      </c>
      <c r="C6506">
        <v>9406582649</v>
      </c>
      <c r="D6506" s="2">
        <v>1</v>
      </c>
      <c r="E6506" t="str">
        <f>"4574674200841609"</f>
        <v>4574674200841609</v>
      </c>
      <c r="F6506" t="str">
        <f>"104"</f>
        <v>104</v>
      </c>
      <c r="G6506">
        <v>1</v>
      </c>
      <c r="H6506">
        <v>2023</v>
      </c>
      <c r="I6506" t="s">
        <v>6621</v>
      </c>
    </row>
    <row r="6507" spans="1:9" x14ac:dyDescent="0.3">
      <c r="A6507" t="s">
        <v>10138</v>
      </c>
      <c r="B6507" t="s">
        <v>83</v>
      </c>
      <c r="C6507">
        <v>9406582649</v>
      </c>
      <c r="D6507" s="2">
        <v>1</v>
      </c>
      <c r="E6507" t="str">
        <f>"4574674200841385"</f>
        <v>4574674200841385</v>
      </c>
      <c r="F6507" t="str">
        <f>"731"</f>
        <v>731</v>
      </c>
      <c r="G6507">
        <v>1</v>
      </c>
      <c r="H6507">
        <v>2023</v>
      </c>
      <c r="I6507" t="s">
        <v>6622</v>
      </c>
    </row>
    <row r="6508" spans="1:9" x14ac:dyDescent="0.3">
      <c r="A6508" t="s">
        <v>10139</v>
      </c>
      <c r="B6508" t="s">
        <v>84</v>
      </c>
      <c r="C6508">
        <v>9406582649</v>
      </c>
      <c r="D6508" s="2">
        <v>1</v>
      </c>
      <c r="E6508" t="str">
        <f>"4574674200841427"</f>
        <v>4574674200841427</v>
      </c>
      <c r="F6508" t="str">
        <f>"790"</f>
        <v>790</v>
      </c>
      <c r="G6508">
        <v>1</v>
      </c>
      <c r="H6508">
        <v>2023</v>
      </c>
      <c r="I6508" t="s">
        <v>6623</v>
      </c>
    </row>
    <row r="6509" spans="1:9" x14ac:dyDescent="0.3">
      <c r="A6509" t="s">
        <v>10139</v>
      </c>
      <c r="B6509" t="s">
        <v>84</v>
      </c>
      <c r="C6509">
        <v>9406582649</v>
      </c>
      <c r="D6509" s="2">
        <v>1</v>
      </c>
      <c r="E6509" t="str">
        <f>"4574674200841617"</f>
        <v>4574674200841617</v>
      </c>
      <c r="F6509" t="str">
        <f>"860"</f>
        <v>860</v>
      </c>
      <c r="G6509">
        <v>1</v>
      </c>
      <c r="H6509">
        <v>2023</v>
      </c>
      <c r="I6509" t="s">
        <v>6624</v>
      </c>
    </row>
    <row r="6510" spans="1:9" x14ac:dyDescent="0.3">
      <c r="A6510" t="s">
        <v>10139</v>
      </c>
      <c r="B6510" t="s">
        <v>84</v>
      </c>
      <c r="C6510">
        <v>9406582649</v>
      </c>
      <c r="D6510" s="2">
        <v>1</v>
      </c>
      <c r="E6510" t="str">
        <f>"4574674200841666"</f>
        <v>4574674200841666</v>
      </c>
      <c r="F6510" t="str">
        <f>"008"</f>
        <v>008</v>
      </c>
      <c r="G6510">
        <v>1</v>
      </c>
      <c r="H6510">
        <v>2023</v>
      </c>
      <c r="I6510" t="s">
        <v>6625</v>
      </c>
    </row>
    <row r="6511" spans="1:9" x14ac:dyDescent="0.3">
      <c r="A6511" t="s">
        <v>10139</v>
      </c>
      <c r="B6511" t="s">
        <v>84</v>
      </c>
      <c r="C6511">
        <v>9406582649</v>
      </c>
      <c r="D6511" s="2">
        <v>1</v>
      </c>
      <c r="E6511" t="str">
        <f>"4574674200841542"</f>
        <v>4574674200841542</v>
      </c>
      <c r="F6511" t="str">
        <f>"024"</f>
        <v>024</v>
      </c>
      <c r="G6511">
        <v>1</v>
      </c>
      <c r="H6511">
        <v>2023</v>
      </c>
      <c r="I6511" t="s">
        <v>6626</v>
      </c>
    </row>
    <row r="6512" spans="1:9" x14ac:dyDescent="0.3">
      <c r="A6512" t="s">
        <v>10139</v>
      </c>
      <c r="B6512" t="s">
        <v>84</v>
      </c>
      <c r="C6512">
        <v>9406582649</v>
      </c>
      <c r="D6512" s="2">
        <v>1</v>
      </c>
      <c r="E6512" t="str">
        <f>"4574674200841534"</f>
        <v>4574674200841534</v>
      </c>
      <c r="F6512" t="str">
        <f>"708"</f>
        <v>708</v>
      </c>
      <c r="G6512">
        <v>1</v>
      </c>
      <c r="H6512">
        <v>2023</v>
      </c>
      <c r="I6512" t="s">
        <v>6627</v>
      </c>
    </row>
    <row r="6513" spans="1:9" x14ac:dyDescent="0.3">
      <c r="A6513" t="s">
        <v>10139</v>
      </c>
      <c r="B6513" t="s">
        <v>84</v>
      </c>
      <c r="C6513">
        <v>9406582649</v>
      </c>
      <c r="D6513" s="2">
        <v>1</v>
      </c>
      <c r="E6513" t="str">
        <f>"4574674200841567"</f>
        <v>4574674200841567</v>
      </c>
      <c r="F6513" t="str">
        <f>"356"</f>
        <v>356</v>
      </c>
      <c r="G6513">
        <v>1</v>
      </c>
      <c r="H6513">
        <v>2023</v>
      </c>
      <c r="I6513" t="s">
        <v>6628</v>
      </c>
    </row>
    <row r="6514" spans="1:9" x14ac:dyDescent="0.3">
      <c r="A6514" t="s">
        <v>10139</v>
      </c>
      <c r="B6514" t="s">
        <v>84</v>
      </c>
      <c r="C6514">
        <v>9406582649</v>
      </c>
      <c r="D6514" s="2">
        <v>1</v>
      </c>
      <c r="E6514" t="str">
        <f>"4574674200841716"</f>
        <v>4574674200841716</v>
      </c>
      <c r="F6514" t="str">
        <f>"934"</f>
        <v>934</v>
      </c>
      <c r="G6514">
        <v>1</v>
      </c>
      <c r="H6514">
        <v>2023</v>
      </c>
      <c r="I6514" t="s">
        <v>6629</v>
      </c>
    </row>
    <row r="6515" spans="1:9" x14ac:dyDescent="0.3">
      <c r="A6515" t="s">
        <v>10139</v>
      </c>
      <c r="B6515" t="s">
        <v>84</v>
      </c>
      <c r="C6515">
        <v>9406582649</v>
      </c>
      <c r="D6515" s="2">
        <v>1</v>
      </c>
      <c r="E6515" t="str">
        <f>"4574674200841724"</f>
        <v>4574674200841724</v>
      </c>
      <c r="F6515" t="str">
        <f>"941"</f>
        <v>941</v>
      </c>
      <c r="G6515">
        <v>1</v>
      </c>
      <c r="H6515">
        <v>2023</v>
      </c>
      <c r="I6515" t="s">
        <v>6630</v>
      </c>
    </row>
    <row r="6516" spans="1:9" x14ac:dyDescent="0.3">
      <c r="A6516" t="s">
        <v>10139</v>
      </c>
      <c r="B6516" t="s">
        <v>84</v>
      </c>
      <c r="C6516">
        <v>9406582649</v>
      </c>
      <c r="D6516" s="2">
        <v>1</v>
      </c>
      <c r="E6516" t="str">
        <f>"4574674200841757"</f>
        <v>4574674200841757</v>
      </c>
      <c r="F6516" t="str">
        <f>"838"</f>
        <v>838</v>
      </c>
      <c r="G6516">
        <v>1</v>
      </c>
      <c r="H6516">
        <v>2023</v>
      </c>
      <c r="I6516" t="s">
        <v>6631</v>
      </c>
    </row>
    <row r="6517" spans="1:9" x14ac:dyDescent="0.3">
      <c r="A6517" t="s">
        <v>10139</v>
      </c>
      <c r="B6517" t="s">
        <v>84</v>
      </c>
      <c r="C6517">
        <v>9406582649</v>
      </c>
      <c r="D6517" s="2">
        <v>1</v>
      </c>
      <c r="E6517" t="str">
        <f>"4574674200841773"</f>
        <v>4574674200841773</v>
      </c>
      <c r="F6517" t="str">
        <f>"781"</f>
        <v>781</v>
      </c>
      <c r="G6517">
        <v>1</v>
      </c>
      <c r="H6517">
        <v>2023</v>
      </c>
      <c r="I6517" t="s">
        <v>6632</v>
      </c>
    </row>
    <row r="6518" spans="1:9" x14ac:dyDescent="0.3">
      <c r="A6518" t="s">
        <v>10138</v>
      </c>
      <c r="B6518" t="s">
        <v>83</v>
      </c>
      <c r="C6518">
        <v>9406582649</v>
      </c>
      <c r="D6518" s="2">
        <v>1</v>
      </c>
      <c r="E6518" t="str">
        <f>"4574674200841906"</f>
        <v>4574674200841906</v>
      </c>
      <c r="F6518" t="str">
        <f>"677"</f>
        <v>677</v>
      </c>
      <c r="G6518">
        <v>1</v>
      </c>
      <c r="H6518">
        <v>2023</v>
      </c>
      <c r="I6518" t="s">
        <v>6633</v>
      </c>
    </row>
    <row r="6519" spans="1:9" x14ac:dyDescent="0.3">
      <c r="A6519" t="s">
        <v>10138</v>
      </c>
      <c r="B6519" t="s">
        <v>83</v>
      </c>
      <c r="C6519">
        <v>9406582649</v>
      </c>
      <c r="D6519" s="2">
        <v>1</v>
      </c>
      <c r="E6519" t="str">
        <f>"4574674200841922"</f>
        <v>4574674200841922</v>
      </c>
      <c r="F6519" t="str">
        <f>"402"</f>
        <v>402</v>
      </c>
      <c r="G6519">
        <v>1</v>
      </c>
      <c r="H6519">
        <v>2023</v>
      </c>
      <c r="I6519" t="s">
        <v>6634</v>
      </c>
    </row>
    <row r="6520" spans="1:9" x14ac:dyDescent="0.3">
      <c r="A6520" t="s">
        <v>10138</v>
      </c>
      <c r="B6520" t="s">
        <v>83</v>
      </c>
      <c r="C6520">
        <v>9406582649</v>
      </c>
      <c r="D6520" s="2">
        <v>1</v>
      </c>
      <c r="E6520" t="str">
        <f>"4574674200841955"</f>
        <v>4574674200841955</v>
      </c>
      <c r="F6520" t="str">
        <f>"744"</f>
        <v>744</v>
      </c>
      <c r="G6520">
        <v>1</v>
      </c>
      <c r="H6520">
        <v>2023</v>
      </c>
      <c r="I6520" t="s">
        <v>6635</v>
      </c>
    </row>
    <row r="6521" spans="1:9" x14ac:dyDescent="0.3">
      <c r="A6521" t="s">
        <v>10138</v>
      </c>
      <c r="B6521" t="s">
        <v>83</v>
      </c>
      <c r="C6521">
        <v>9406582649</v>
      </c>
      <c r="D6521" s="2">
        <v>1</v>
      </c>
      <c r="E6521" t="str">
        <f>"4574674200842235"</f>
        <v>4574674200842235</v>
      </c>
      <c r="F6521" t="str">
        <f>"402"</f>
        <v>402</v>
      </c>
      <c r="G6521">
        <v>1</v>
      </c>
      <c r="H6521">
        <v>2023</v>
      </c>
      <c r="I6521" t="s">
        <v>6636</v>
      </c>
    </row>
    <row r="6522" spans="1:9" x14ac:dyDescent="0.3">
      <c r="A6522" t="s">
        <v>10138</v>
      </c>
      <c r="B6522" t="s">
        <v>83</v>
      </c>
      <c r="C6522">
        <v>9406582649</v>
      </c>
      <c r="D6522" s="2">
        <v>1</v>
      </c>
      <c r="E6522" t="str">
        <f>"4574674200842250"</f>
        <v>4574674200842250</v>
      </c>
      <c r="F6522" t="str">
        <f>"275"</f>
        <v>275</v>
      </c>
      <c r="G6522">
        <v>1</v>
      </c>
      <c r="H6522">
        <v>2023</v>
      </c>
      <c r="I6522" t="s">
        <v>6637</v>
      </c>
    </row>
    <row r="6523" spans="1:9" x14ac:dyDescent="0.3">
      <c r="A6523" t="s">
        <v>10138</v>
      </c>
      <c r="B6523" t="s">
        <v>83</v>
      </c>
      <c r="C6523">
        <v>9406582649</v>
      </c>
      <c r="D6523" s="2">
        <v>1</v>
      </c>
      <c r="E6523" t="str">
        <f>"4574674200842243"</f>
        <v>4574674200842243</v>
      </c>
      <c r="F6523" t="str">
        <f>"188"</f>
        <v>188</v>
      </c>
      <c r="G6523">
        <v>1</v>
      </c>
      <c r="H6523">
        <v>2023</v>
      </c>
      <c r="I6523" t="s">
        <v>6638</v>
      </c>
    </row>
    <row r="6524" spans="1:9" x14ac:dyDescent="0.3">
      <c r="A6524" t="s">
        <v>10138</v>
      </c>
      <c r="B6524" t="s">
        <v>83</v>
      </c>
      <c r="C6524">
        <v>9406582649</v>
      </c>
      <c r="D6524" s="2">
        <v>1</v>
      </c>
      <c r="E6524" t="str">
        <f>"4574674200842094"</f>
        <v>4574674200842094</v>
      </c>
      <c r="F6524" t="str">
        <f>"894"</f>
        <v>894</v>
      </c>
      <c r="G6524">
        <v>1</v>
      </c>
      <c r="H6524">
        <v>2023</v>
      </c>
      <c r="I6524" t="s">
        <v>6639</v>
      </c>
    </row>
    <row r="6525" spans="1:9" x14ac:dyDescent="0.3">
      <c r="A6525" t="s">
        <v>10138</v>
      </c>
      <c r="B6525" t="s">
        <v>83</v>
      </c>
      <c r="C6525">
        <v>9406582649</v>
      </c>
      <c r="D6525" s="2">
        <v>1</v>
      </c>
      <c r="E6525" t="str">
        <f>"4574674200842086"</f>
        <v>4574674200842086</v>
      </c>
      <c r="F6525" t="str">
        <f>"332"</f>
        <v>332</v>
      </c>
      <c r="G6525">
        <v>1</v>
      </c>
      <c r="H6525">
        <v>2023</v>
      </c>
      <c r="I6525" t="s">
        <v>6640</v>
      </c>
    </row>
    <row r="6526" spans="1:9" x14ac:dyDescent="0.3">
      <c r="A6526" t="s">
        <v>10138</v>
      </c>
      <c r="B6526" t="s">
        <v>83</v>
      </c>
      <c r="C6526">
        <v>9406582649</v>
      </c>
      <c r="D6526" s="2">
        <v>1</v>
      </c>
      <c r="E6526" t="str">
        <f>"4574674200842128"</f>
        <v>4574674200842128</v>
      </c>
      <c r="F6526" t="str">
        <f>"464"</f>
        <v>464</v>
      </c>
      <c r="G6526">
        <v>1</v>
      </c>
      <c r="H6526">
        <v>2023</v>
      </c>
      <c r="I6526" t="s">
        <v>6641</v>
      </c>
    </row>
    <row r="6527" spans="1:9" x14ac:dyDescent="0.3">
      <c r="A6527" t="s">
        <v>10138</v>
      </c>
      <c r="B6527" t="s">
        <v>83</v>
      </c>
      <c r="C6527">
        <v>9406582649</v>
      </c>
      <c r="D6527" s="2">
        <v>1</v>
      </c>
      <c r="E6527" t="str">
        <f>"4574674200842292"</f>
        <v>4574674200842292</v>
      </c>
      <c r="F6527" t="str">
        <f>"406"</f>
        <v>406</v>
      </c>
      <c r="G6527">
        <v>1</v>
      </c>
      <c r="H6527">
        <v>2023</v>
      </c>
      <c r="I6527" t="s">
        <v>6642</v>
      </c>
    </row>
    <row r="6528" spans="1:9" x14ac:dyDescent="0.3">
      <c r="A6528" t="s">
        <v>10140</v>
      </c>
      <c r="B6528" t="s">
        <v>85</v>
      </c>
      <c r="C6528">
        <v>9406582649</v>
      </c>
      <c r="D6528" s="2">
        <v>1</v>
      </c>
      <c r="E6528" t="str">
        <f>"4574674200842318"</f>
        <v>4574674200842318</v>
      </c>
      <c r="F6528" t="str">
        <f>"437"</f>
        <v>437</v>
      </c>
      <c r="G6528">
        <v>1</v>
      </c>
      <c r="H6528">
        <v>2023</v>
      </c>
      <c r="I6528" t="s">
        <v>6643</v>
      </c>
    </row>
    <row r="6529" spans="1:9" x14ac:dyDescent="0.3">
      <c r="A6529" t="s">
        <v>10140</v>
      </c>
      <c r="B6529" t="s">
        <v>85</v>
      </c>
      <c r="C6529">
        <v>9406582649</v>
      </c>
      <c r="D6529" s="2">
        <v>1</v>
      </c>
      <c r="E6529" t="str">
        <f>"4574674200842482"</f>
        <v>4574674200842482</v>
      </c>
      <c r="F6529" t="str">
        <f>"938"</f>
        <v>938</v>
      </c>
      <c r="G6529">
        <v>1</v>
      </c>
      <c r="H6529">
        <v>2023</v>
      </c>
      <c r="I6529" t="s">
        <v>6644</v>
      </c>
    </row>
    <row r="6530" spans="1:9" x14ac:dyDescent="0.3">
      <c r="A6530" t="s">
        <v>10140</v>
      </c>
      <c r="B6530" t="s">
        <v>85</v>
      </c>
      <c r="C6530">
        <v>9406582649</v>
      </c>
      <c r="D6530" s="2">
        <v>1</v>
      </c>
      <c r="E6530" t="str">
        <f>"4574674200842474"</f>
        <v>4574674200842474</v>
      </c>
      <c r="F6530" t="str">
        <f>"240"</f>
        <v>240</v>
      </c>
      <c r="G6530">
        <v>1</v>
      </c>
      <c r="H6530">
        <v>2023</v>
      </c>
      <c r="I6530" t="s">
        <v>6645</v>
      </c>
    </row>
    <row r="6531" spans="1:9" x14ac:dyDescent="0.3">
      <c r="A6531" t="s">
        <v>10140</v>
      </c>
      <c r="B6531" t="s">
        <v>85</v>
      </c>
      <c r="C6531">
        <v>9406582649</v>
      </c>
      <c r="D6531" s="2">
        <v>1</v>
      </c>
      <c r="E6531" t="str">
        <f>"4574674200842490"</f>
        <v>4574674200842490</v>
      </c>
      <c r="F6531" t="str">
        <f>"067"</f>
        <v>067</v>
      </c>
      <c r="G6531">
        <v>1</v>
      </c>
      <c r="H6531">
        <v>2023</v>
      </c>
      <c r="I6531" t="s">
        <v>6646</v>
      </c>
    </row>
    <row r="6532" spans="1:9" x14ac:dyDescent="0.3">
      <c r="A6532" t="s">
        <v>10140</v>
      </c>
      <c r="B6532" t="s">
        <v>85</v>
      </c>
      <c r="C6532">
        <v>9406582649</v>
      </c>
      <c r="D6532" s="2">
        <v>1</v>
      </c>
      <c r="E6532" t="str">
        <f>"4574674200842367"</f>
        <v>4574674200842367</v>
      </c>
      <c r="F6532" t="str">
        <f>"821"</f>
        <v>821</v>
      </c>
      <c r="G6532">
        <v>1</v>
      </c>
      <c r="H6532">
        <v>2023</v>
      </c>
      <c r="I6532" t="s">
        <v>6647</v>
      </c>
    </row>
    <row r="6533" spans="1:9" x14ac:dyDescent="0.3">
      <c r="A6533" t="s">
        <v>10140</v>
      </c>
      <c r="B6533" t="s">
        <v>85</v>
      </c>
      <c r="C6533">
        <v>9406582649</v>
      </c>
      <c r="D6533" s="2">
        <v>1</v>
      </c>
      <c r="E6533" t="str">
        <f>"4574674200842375"</f>
        <v>4574674200842375</v>
      </c>
      <c r="F6533" t="str">
        <f>"141"</f>
        <v>141</v>
      </c>
      <c r="G6533">
        <v>1</v>
      </c>
      <c r="H6533">
        <v>2023</v>
      </c>
      <c r="I6533" t="s">
        <v>6648</v>
      </c>
    </row>
    <row r="6534" spans="1:9" x14ac:dyDescent="0.3">
      <c r="A6534" t="s">
        <v>10140</v>
      </c>
      <c r="B6534" t="s">
        <v>85</v>
      </c>
      <c r="C6534">
        <v>9406582649</v>
      </c>
      <c r="D6534" s="2">
        <v>1</v>
      </c>
      <c r="E6534" t="str">
        <f>"4574674200842581"</f>
        <v>4574674200842581</v>
      </c>
      <c r="F6534" t="str">
        <f>"436"</f>
        <v>436</v>
      </c>
      <c r="G6534">
        <v>1</v>
      </c>
      <c r="H6534">
        <v>2023</v>
      </c>
      <c r="I6534" t="s">
        <v>6649</v>
      </c>
    </row>
    <row r="6535" spans="1:9" x14ac:dyDescent="0.3">
      <c r="A6535" t="s">
        <v>10140</v>
      </c>
      <c r="B6535" t="s">
        <v>85</v>
      </c>
      <c r="C6535">
        <v>9406582649</v>
      </c>
      <c r="D6535" s="2">
        <v>1</v>
      </c>
      <c r="E6535" t="str">
        <f>"4574674200842615"</f>
        <v>4574674200842615</v>
      </c>
      <c r="F6535" t="str">
        <f>"396"</f>
        <v>396</v>
      </c>
      <c r="G6535">
        <v>1</v>
      </c>
      <c r="H6535">
        <v>2023</v>
      </c>
      <c r="I6535" t="s">
        <v>6650</v>
      </c>
    </row>
    <row r="6536" spans="1:9" x14ac:dyDescent="0.3">
      <c r="A6536" t="s">
        <v>10140</v>
      </c>
      <c r="B6536" t="s">
        <v>85</v>
      </c>
      <c r="C6536">
        <v>9406582649</v>
      </c>
      <c r="D6536" s="2">
        <v>1</v>
      </c>
      <c r="E6536" t="str">
        <f>"4574674200842821"</f>
        <v>4574674200842821</v>
      </c>
      <c r="F6536" t="str">
        <f>"531"</f>
        <v>531</v>
      </c>
      <c r="G6536">
        <v>1</v>
      </c>
      <c r="H6536">
        <v>2023</v>
      </c>
      <c r="I6536" t="s">
        <v>6651</v>
      </c>
    </row>
    <row r="6537" spans="1:9" x14ac:dyDescent="0.3">
      <c r="A6537" t="s">
        <v>10140</v>
      </c>
      <c r="B6537" t="s">
        <v>85</v>
      </c>
      <c r="C6537">
        <v>9406582649</v>
      </c>
      <c r="D6537" s="2">
        <v>1</v>
      </c>
      <c r="E6537" t="str">
        <f>"4574674200842854"</f>
        <v>4574674200842854</v>
      </c>
      <c r="F6537" t="str">
        <f>"329"</f>
        <v>329</v>
      </c>
      <c r="G6537">
        <v>1</v>
      </c>
      <c r="H6537">
        <v>2023</v>
      </c>
      <c r="I6537" t="s">
        <v>6652</v>
      </c>
    </row>
    <row r="6538" spans="1:9" x14ac:dyDescent="0.3">
      <c r="A6538" t="s">
        <v>10141</v>
      </c>
      <c r="B6538" t="s">
        <v>86</v>
      </c>
      <c r="C6538">
        <v>9406582649</v>
      </c>
      <c r="D6538" s="2">
        <v>1</v>
      </c>
      <c r="E6538" t="str">
        <f>"4574674200842623"</f>
        <v>4574674200842623</v>
      </c>
      <c r="F6538" t="str">
        <f>"732"</f>
        <v>732</v>
      </c>
      <c r="G6538">
        <v>1</v>
      </c>
      <c r="H6538">
        <v>2023</v>
      </c>
      <c r="I6538" t="s">
        <v>6653</v>
      </c>
    </row>
    <row r="6539" spans="1:9" x14ac:dyDescent="0.3">
      <c r="A6539" t="s">
        <v>10141</v>
      </c>
      <c r="B6539" t="s">
        <v>86</v>
      </c>
      <c r="C6539">
        <v>9406582649</v>
      </c>
      <c r="D6539" s="2">
        <v>1</v>
      </c>
      <c r="E6539" t="str">
        <f>"4574674200842680"</f>
        <v>4574674200842680</v>
      </c>
      <c r="F6539" t="str">
        <f>"796"</f>
        <v>796</v>
      </c>
      <c r="G6539">
        <v>1</v>
      </c>
      <c r="H6539">
        <v>2023</v>
      </c>
      <c r="I6539" t="s">
        <v>6654</v>
      </c>
    </row>
    <row r="6540" spans="1:9" x14ac:dyDescent="0.3">
      <c r="A6540" t="s">
        <v>10141</v>
      </c>
      <c r="B6540" t="s">
        <v>86</v>
      </c>
      <c r="C6540">
        <v>9406582649</v>
      </c>
      <c r="D6540" s="2">
        <v>1</v>
      </c>
      <c r="E6540" t="str">
        <f>"4574674200842698"</f>
        <v>4574674200842698</v>
      </c>
      <c r="F6540" t="str">
        <f>"432"</f>
        <v>432</v>
      </c>
      <c r="G6540">
        <v>1</v>
      </c>
      <c r="H6540">
        <v>2023</v>
      </c>
      <c r="I6540" t="s">
        <v>6655</v>
      </c>
    </row>
    <row r="6541" spans="1:9" x14ac:dyDescent="0.3">
      <c r="A6541" t="s">
        <v>10141</v>
      </c>
      <c r="B6541" t="s">
        <v>86</v>
      </c>
      <c r="C6541">
        <v>9406582649</v>
      </c>
      <c r="D6541" s="2">
        <v>1</v>
      </c>
      <c r="E6541" t="str">
        <f>"4574674200842961"</f>
        <v>4574674200842961</v>
      </c>
      <c r="F6541" t="str">
        <f>"901"</f>
        <v>901</v>
      </c>
      <c r="G6541">
        <v>1</v>
      </c>
      <c r="H6541">
        <v>2023</v>
      </c>
      <c r="I6541" t="s">
        <v>6656</v>
      </c>
    </row>
    <row r="6542" spans="1:9" x14ac:dyDescent="0.3">
      <c r="A6542" t="s">
        <v>10141</v>
      </c>
      <c r="B6542" t="s">
        <v>86</v>
      </c>
      <c r="C6542">
        <v>9406582649</v>
      </c>
      <c r="D6542" s="2">
        <v>1</v>
      </c>
      <c r="E6542" t="str">
        <f>"4574674200842995"</f>
        <v>4574674200842995</v>
      </c>
      <c r="F6542" t="str">
        <f>"041"</f>
        <v>041</v>
      </c>
      <c r="G6542">
        <v>1</v>
      </c>
      <c r="H6542">
        <v>2023</v>
      </c>
      <c r="I6542" t="s">
        <v>6657</v>
      </c>
    </row>
    <row r="6543" spans="1:9" x14ac:dyDescent="0.3">
      <c r="A6543" t="s">
        <v>10141</v>
      </c>
      <c r="B6543" t="s">
        <v>86</v>
      </c>
      <c r="C6543">
        <v>9406582649</v>
      </c>
      <c r="D6543" s="2">
        <v>1</v>
      </c>
      <c r="E6543" t="str">
        <f>"4574674200843001"</f>
        <v>4574674200843001</v>
      </c>
      <c r="F6543" t="str">
        <f>"190"</f>
        <v>190</v>
      </c>
      <c r="G6543">
        <v>1</v>
      </c>
      <c r="H6543">
        <v>2023</v>
      </c>
      <c r="I6543" t="s">
        <v>6658</v>
      </c>
    </row>
    <row r="6544" spans="1:9" x14ac:dyDescent="0.3">
      <c r="A6544" t="s">
        <v>10141</v>
      </c>
      <c r="B6544" t="s">
        <v>86</v>
      </c>
      <c r="C6544">
        <v>9406582649</v>
      </c>
      <c r="D6544" s="2">
        <v>1</v>
      </c>
      <c r="E6544" t="str">
        <f>"4574674200842755"</f>
        <v>4574674200842755</v>
      </c>
      <c r="F6544" t="str">
        <f>"097"</f>
        <v>097</v>
      </c>
      <c r="G6544">
        <v>1</v>
      </c>
      <c r="H6544">
        <v>2023</v>
      </c>
      <c r="I6544" t="s">
        <v>6659</v>
      </c>
    </row>
    <row r="6545" spans="1:9" x14ac:dyDescent="0.3">
      <c r="A6545" t="s">
        <v>10141</v>
      </c>
      <c r="B6545" t="s">
        <v>86</v>
      </c>
      <c r="C6545">
        <v>9406582649</v>
      </c>
      <c r="D6545" s="2">
        <v>1</v>
      </c>
      <c r="E6545" t="str">
        <f>"4574674200842771"</f>
        <v>4574674200842771</v>
      </c>
      <c r="F6545" t="str">
        <f>"385"</f>
        <v>385</v>
      </c>
      <c r="G6545">
        <v>1</v>
      </c>
      <c r="H6545">
        <v>2023</v>
      </c>
      <c r="I6545" t="s">
        <v>6660</v>
      </c>
    </row>
    <row r="6546" spans="1:9" x14ac:dyDescent="0.3">
      <c r="A6546" t="s">
        <v>10141</v>
      </c>
      <c r="B6546" t="s">
        <v>86</v>
      </c>
      <c r="C6546">
        <v>9406582649</v>
      </c>
      <c r="D6546" s="2">
        <v>1</v>
      </c>
      <c r="E6546" t="str">
        <f>"4574674200843076"</f>
        <v>4574674200843076</v>
      </c>
      <c r="F6546" t="str">
        <f>"470"</f>
        <v>470</v>
      </c>
      <c r="G6546">
        <v>1</v>
      </c>
      <c r="H6546">
        <v>2023</v>
      </c>
      <c r="I6546" t="s">
        <v>6661</v>
      </c>
    </row>
    <row r="6547" spans="1:9" x14ac:dyDescent="0.3">
      <c r="A6547" t="s">
        <v>10141</v>
      </c>
      <c r="B6547" t="s">
        <v>86</v>
      </c>
      <c r="C6547">
        <v>9406582649</v>
      </c>
      <c r="D6547" s="2">
        <v>1</v>
      </c>
      <c r="E6547" t="str">
        <f>"4574674200843142"</f>
        <v>4574674200843142</v>
      </c>
      <c r="F6547" t="str">
        <f>"657"</f>
        <v>657</v>
      </c>
      <c r="G6547">
        <v>1</v>
      </c>
      <c r="H6547">
        <v>2023</v>
      </c>
      <c r="I6547" t="s">
        <v>6662</v>
      </c>
    </row>
    <row r="6548" spans="1:9" x14ac:dyDescent="0.3">
      <c r="A6548" t="s">
        <v>10142</v>
      </c>
      <c r="B6548" t="s">
        <v>87</v>
      </c>
      <c r="C6548">
        <v>9406582649</v>
      </c>
      <c r="D6548" s="2">
        <v>1</v>
      </c>
      <c r="E6548" t="str">
        <f>"4574674200843159"</f>
        <v>4574674200843159</v>
      </c>
      <c r="F6548" t="str">
        <f>"701"</f>
        <v>701</v>
      </c>
      <c r="G6548">
        <v>1</v>
      </c>
      <c r="H6548">
        <v>2023</v>
      </c>
      <c r="I6548" t="s">
        <v>6663</v>
      </c>
    </row>
    <row r="6549" spans="1:9" x14ac:dyDescent="0.3">
      <c r="A6549" t="s">
        <v>10142</v>
      </c>
      <c r="B6549" t="s">
        <v>87</v>
      </c>
      <c r="C6549">
        <v>9406582649</v>
      </c>
      <c r="D6549" s="2">
        <v>1</v>
      </c>
      <c r="E6549" t="str">
        <f>"4574674200843209"</f>
        <v>4574674200843209</v>
      </c>
      <c r="F6549" t="str">
        <f>"844"</f>
        <v>844</v>
      </c>
      <c r="G6549">
        <v>1</v>
      </c>
      <c r="H6549">
        <v>2023</v>
      </c>
      <c r="I6549" t="s">
        <v>6664</v>
      </c>
    </row>
    <row r="6550" spans="1:9" x14ac:dyDescent="0.3">
      <c r="A6550" t="s">
        <v>10142</v>
      </c>
      <c r="B6550" t="s">
        <v>87</v>
      </c>
      <c r="C6550">
        <v>9406582649</v>
      </c>
      <c r="D6550" s="2">
        <v>1</v>
      </c>
      <c r="E6550" t="str">
        <f>"4574674200843217"</f>
        <v>4574674200843217</v>
      </c>
      <c r="F6550" t="str">
        <f>"510"</f>
        <v>510</v>
      </c>
      <c r="G6550">
        <v>1</v>
      </c>
      <c r="H6550">
        <v>2023</v>
      </c>
      <c r="I6550" t="s">
        <v>6665</v>
      </c>
    </row>
    <row r="6551" spans="1:9" x14ac:dyDescent="0.3">
      <c r="A6551" t="s">
        <v>10142</v>
      </c>
      <c r="B6551" t="s">
        <v>87</v>
      </c>
      <c r="C6551">
        <v>9406582649</v>
      </c>
      <c r="D6551" s="2">
        <v>1</v>
      </c>
      <c r="E6551" t="str">
        <f>"4574674200843456"</f>
        <v>4574674200843456</v>
      </c>
      <c r="F6551" t="str">
        <f>"649"</f>
        <v>649</v>
      </c>
      <c r="G6551">
        <v>1</v>
      </c>
      <c r="H6551">
        <v>2023</v>
      </c>
      <c r="I6551" t="s">
        <v>6666</v>
      </c>
    </row>
    <row r="6552" spans="1:9" x14ac:dyDescent="0.3">
      <c r="A6552" t="s">
        <v>10142</v>
      </c>
      <c r="B6552" t="s">
        <v>87</v>
      </c>
      <c r="C6552">
        <v>9406582649</v>
      </c>
      <c r="D6552" s="2">
        <v>1</v>
      </c>
      <c r="E6552" t="str">
        <f>"4574674200843506"</f>
        <v>4574674200843506</v>
      </c>
      <c r="F6552" t="str">
        <f>"322"</f>
        <v>322</v>
      </c>
      <c r="G6552">
        <v>1</v>
      </c>
      <c r="H6552">
        <v>2023</v>
      </c>
      <c r="I6552" t="s">
        <v>6667</v>
      </c>
    </row>
    <row r="6553" spans="1:9" x14ac:dyDescent="0.3">
      <c r="A6553" t="s">
        <v>10142</v>
      </c>
      <c r="B6553" t="s">
        <v>87</v>
      </c>
      <c r="C6553">
        <v>9406582649</v>
      </c>
      <c r="D6553" s="2">
        <v>1</v>
      </c>
      <c r="E6553" t="str">
        <f>"4574674200843514"</f>
        <v>4574674200843514</v>
      </c>
      <c r="F6553" t="str">
        <f>"717"</f>
        <v>717</v>
      </c>
      <c r="G6553">
        <v>1</v>
      </c>
      <c r="H6553">
        <v>2023</v>
      </c>
      <c r="I6553" t="s">
        <v>6668</v>
      </c>
    </row>
    <row r="6554" spans="1:9" x14ac:dyDescent="0.3">
      <c r="A6554" t="s">
        <v>10142</v>
      </c>
      <c r="B6554" t="s">
        <v>87</v>
      </c>
      <c r="C6554">
        <v>9406582649</v>
      </c>
      <c r="D6554" s="2">
        <v>1</v>
      </c>
      <c r="E6554" t="str">
        <f>"4574674200843266"</f>
        <v>4574674200843266</v>
      </c>
      <c r="F6554" t="str">
        <f>"035"</f>
        <v>035</v>
      </c>
      <c r="G6554">
        <v>1</v>
      </c>
      <c r="H6554">
        <v>2023</v>
      </c>
      <c r="I6554" t="s">
        <v>6669</v>
      </c>
    </row>
    <row r="6555" spans="1:9" x14ac:dyDescent="0.3">
      <c r="A6555" t="s">
        <v>10142</v>
      </c>
      <c r="B6555" t="s">
        <v>87</v>
      </c>
      <c r="C6555">
        <v>9406582649</v>
      </c>
      <c r="D6555" s="2">
        <v>1</v>
      </c>
      <c r="E6555" t="str">
        <f>"4574674200843308"</f>
        <v>4574674200843308</v>
      </c>
      <c r="F6555" t="str">
        <f>"073"</f>
        <v>073</v>
      </c>
      <c r="G6555">
        <v>1</v>
      </c>
      <c r="H6555">
        <v>2023</v>
      </c>
      <c r="I6555" t="s">
        <v>6670</v>
      </c>
    </row>
    <row r="6556" spans="1:9" x14ac:dyDescent="0.3">
      <c r="A6556" t="s">
        <v>10142</v>
      </c>
      <c r="B6556" t="s">
        <v>87</v>
      </c>
      <c r="C6556">
        <v>9406582649</v>
      </c>
      <c r="D6556" s="2">
        <v>1</v>
      </c>
      <c r="E6556" t="str">
        <f>"4574674200843324"</f>
        <v>4574674200843324</v>
      </c>
      <c r="F6556" t="str">
        <f>"871"</f>
        <v>871</v>
      </c>
      <c r="G6556">
        <v>1</v>
      </c>
      <c r="H6556">
        <v>2023</v>
      </c>
      <c r="I6556" t="s">
        <v>6671</v>
      </c>
    </row>
    <row r="6557" spans="1:9" x14ac:dyDescent="0.3">
      <c r="A6557" t="s">
        <v>10142</v>
      </c>
      <c r="B6557" t="s">
        <v>87</v>
      </c>
      <c r="C6557">
        <v>9406582649</v>
      </c>
      <c r="D6557" s="2">
        <v>1</v>
      </c>
      <c r="E6557" t="str">
        <f>"4574674200843332"</f>
        <v>4574674200843332</v>
      </c>
      <c r="F6557" t="str">
        <f>"784"</f>
        <v>784</v>
      </c>
      <c r="G6557">
        <v>1</v>
      </c>
      <c r="H6557">
        <v>2023</v>
      </c>
      <c r="I6557" t="s">
        <v>6672</v>
      </c>
    </row>
    <row r="6558" spans="1:9" x14ac:dyDescent="0.3">
      <c r="A6558" t="s">
        <v>10143</v>
      </c>
      <c r="B6558" t="s">
        <v>88</v>
      </c>
      <c r="C6558">
        <v>9406582649</v>
      </c>
      <c r="D6558" s="2">
        <v>1</v>
      </c>
      <c r="E6558" t="str">
        <f>"4574674200843621"</f>
        <v>4574674200843621</v>
      </c>
      <c r="F6558" t="str">
        <f>"283"</f>
        <v>283</v>
      </c>
      <c r="G6558">
        <v>1</v>
      </c>
      <c r="H6558">
        <v>2023</v>
      </c>
      <c r="I6558" t="s">
        <v>6673</v>
      </c>
    </row>
    <row r="6559" spans="1:9" x14ac:dyDescent="0.3">
      <c r="A6559" t="s">
        <v>10143</v>
      </c>
      <c r="B6559" t="s">
        <v>88</v>
      </c>
      <c r="C6559">
        <v>9406582649</v>
      </c>
      <c r="D6559" s="2">
        <v>1</v>
      </c>
      <c r="E6559" t="str">
        <f>"4574674200843381"</f>
        <v>4574674200843381</v>
      </c>
      <c r="F6559" t="str">
        <f>"201"</f>
        <v>201</v>
      </c>
      <c r="G6559">
        <v>1</v>
      </c>
      <c r="H6559">
        <v>2023</v>
      </c>
      <c r="I6559" t="s">
        <v>6674</v>
      </c>
    </row>
    <row r="6560" spans="1:9" x14ac:dyDescent="0.3">
      <c r="A6560" t="s">
        <v>10143</v>
      </c>
      <c r="B6560" t="s">
        <v>88</v>
      </c>
      <c r="C6560">
        <v>9406582649</v>
      </c>
      <c r="D6560" s="2">
        <v>1</v>
      </c>
      <c r="E6560" t="str">
        <f>"4574674200843688"</f>
        <v>4574674200843688</v>
      </c>
      <c r="F6560" t="str">
        <f>"969"</f>
        <v>969</v>
      </c>
      <c r="G6560">
        <v>1</v>
      </c>
      <c r="H6560">
        <v>2023</v>
      </c>
      <c r="I6560" t="s">
        <v>6675</v>
      </c>
    </row>
    <row r="6561" spans="1:9" x14ac:dyDescent="0.3">
      <c r="A6561" t="s">
        <v>10143</v>
      </c>
      <c r="B6561" t="s">
        <v>88</v>
      </c>
      <c r="C6561">
        <v>9406582649</v>
      </c>
      <c r="D6561" s="2">
        <v>1</v>
      </c>
      <c r="E6561" t="str">
        <f>"4574674200843670"</f>
        <v>4574674200843670</v>
      </c>
      <c r="F6561" t="str">
        <f>"966"</f>
        <v>966</v>
      </c>
      <c r="G6561">
        <v>1</v>
      </c>
      <c r="H6561">
        <v>2023</v>
      </c>
      <c r="I6561" t="s">
        <v>6676</v>
      </c>
    </row>
    <row r="6562" spans="1:9" x14ac:dyDescent="0.3">
      <c r="A6562" t="s">
        <v>10143</v>
      </c>
      <c r="B6562" t="s">
        <v>88</v>
      </c>
      <c r="C6562">
        <v>9406582649</v>
      </c>
      <c r="D6562" s="2">
        <v>1</v>
      </c>
      <c r="E6562" t="str">
        <f>"4574674200843811"</f>
        <v>4574674200843811</v>
      </c>
      <c r="F6562" t="str">
        <f>"939"</f>
        <v>939</v>
      </c>
      <c r="G6562">
        <v>1</v>
      </c>
      <c r="H6562">
        <v>2023</v>
      </c>
      <c r="I6562" t="s">
        <v>6677</v>
      </c>
    </row>
    <row r="6563" spans="1:9" x14ac:dyDescent="0.3">
      <c r="A6563" t="s">
        <v>10143</v>
      </c>
      <c r="B6563" t="s">
        <v>88</v>
      </c>
      <c r="C6563">
        <v>9406582649</v>
      </c>
      <c r="D6563" s="2">
        <v>1</v>
      </c>
      <c r="E6563" t="str">
        <f>"4574674200843837"</f>
        <v>4574674200843837</v>
      </c>
      <c r="F6563" t="str">
        <f>"451"</f>
        <v>451</v>
      </c>
      <c r="G6563">
        <v>1</v>
      </c>
      <c r="H6563">
        <v>2023</v>
      </c>
      <c r="I6563" t="s">
        <v>6678</v>
      </c>
    </row>
    <row r="6564" spans="1:9" x14ac:dyDescent="0.3">
      <c r="A6564" t="s">
        <v>10143</v>
      </c>
      <c r="B6564" t="s">
        <v>88</v>
      </c>
      <c r="C6564">
        <v>9406582649</v>
      </c>
      <c r="D6564" s="2">
        <v>1</v>
      </c>
      <c r="E6564" t="str">
        <f>"4574674200843795"</f>
        <v>4574674200843795</v>
      </c>
      <c r="F6564" t="str">
        <f>"294"</f>
        <v>294</v>
      </c>
      <c r="G6564">
        <v>1</v>
      </c>
      <c r="H6564">
        <v>2023</v>
      </c>
      <c r="I6564" t="s">
        <v>6679</v>
      </c>
    </row>
    <row r="6565" spans="1:9" x14ac:dyDescent="0.3">
      <c r="A6565" t="s">
        <v>10143</v>
      </c>
      <c r="B6565" t="s">
        <v>88</v>
      </c>
      <c r="C6565">
        <v>9406582649</v>
      </c>
      <c r="D6565" s="2">
        <v>1</v>
      </c>
      <c r="E6565" t="str">
        <f>"4574674200843852"</f>
        <v>4574674200843852</v>
      </c>
      <c r="F6565" t="str">
        <f>"918"</f>
        <v>918</v>
      </c>
      <c r="G6565">
        <v>1</v>
      </c>
      <c r="H6565">
        <v>2023</v>
      </c>
      <c r="I6565" t="s">
        <v>6680</v>
      </c>
    </row>
    <row r="6566" spans="1:9" x14ac:dyDescent="0.3">
      <c r="A6566" t="s">
        <v>10143</v>
      </c>
      <c r="B6566" t="s">
        <v>88</v>
      </c>
      <c r="C6566">
        <v>9406582649</v>
      </c>
      <c r="D6566" s="2">
        <v>1</v>
      </c>
      <c r="E6566" t="str">
        <f>"4574674200844041"</f>
        <v>4574674200844041</v>
      </c>
      <c r="F6566" t="str">
        <f>"513"</f>
        <v>513</v>
      </c>
      <c r="G6566">
        <v>1</v>
      </c>
      <c r="H6566">
        <v>2023</v>
      </c>
      <c r="I6566" t="s">
        <v>6681</v>
      </c>
    </row>
    <row r="6567" spans="1:9" x14ac:dyDescent="0.3">
      <c r="A6567" t="s">
        <v>10143</v>
      </c>
      <c r="B6567" t="s">
        <v>88</v>
      </c>
      <c r="C6567">
        <v>9406582649</v>
      </c>
      <c r="D6567" s="2">
        <v>1</v>
      </c>
      <c r="E6567" t="str">
        <f>"4574674200844090"</f>
        <v>4574674200844090</v>
      </c>
      <c r="F6567" t="str">
        <f>"324"</f>
        <v>324</v>
      </c>
      <c r="G6567">
        <v>1</v>
      </c>
      <c r="H6567">
        <v>2023</v>
      </c>
      <c r="I6567" t="s">
        <v>6682</v>
      </c>
    </row>
    <row r="6568" spans="1:9" x14ac:dyDescent="0.3">
      <c r="A6568" t="s">
        <v>10144</v>
      </c>
      <c r="B6568" t="s">
        <v>89</v>
      </c>
      <c r="C6568">
        <v>9406582649</v>
      </c>
      <c r="D6568" s="2">
        <v>1</v>
      </c>
      <c r="E6568" t="str">
        <f>"4574674200843910"</f>
        <v>4574674200843910</v>
      </c>
      <c r="F6568" t="str">
        <f>"908"</f>
        <v>908</v>
      </c>
      <c r="G6568">
        <v>1</v>
      </c>
      <c r="H6568">
        <v>2023</v>
      </c>
      <c r="I6568" t="s">
        <v>6683</v>
      </c>
    </row>
    <row r="6569" spans="1:9" x14ac:dyDescent="0.3">
      <c r="A6569" t="s">
        <v>10144</v>
      </c>
      <c r="B6569" t="s">
        <v>89</v>
      </c>
      <c r="C6569">
        <v>9406582649</v>
      </c>
      <c r="D6569" s="2">
        <v>1</v>
      </c>
      <c r="E6569" t="str">
        <f>"4574674200843944"</f>
        <v>4574674200843944</v>
      </c>
      <c r="F6569" t="str">
        <f>"278"</f>
        <v>278</v>
      </c>
      <c r="G6569">
        <v>1</v>
      </c>
      <c r="H6569">
        <v>2023</v>
      </c>
      <c r="I6569" t="s">
        <v>6684</v>
      </c>
    </row>
    <row r="6570" spans="1:9" x14ac:dyDescent="0.3">
      <c r="A6570" t="s">
        <v>10144</v>
      </c>
      <c r="B6570" t="s">
        <v>89</v>
      </c>
      <c r="C6570">
        <v>9406582649</v>
      </c>
      <c r="D6570" s="2">
        <v>1</v>
      </c>
      <c r="E6570" t="str">
        <f>"4574674200844173"</f>
        <v>4574674200844173</v>
      </c>
      <c r="F6570" t="str">
        <f>"285"</f>
        <v>285</v>
      </c>
      <c r="G6570">
        <v>1</v>
      </c>
      <c r="H6570">
        <v>2023</v>
      </c>
      <c r="I6570" t="s">
        <v>6685</v>
      </c>
    </row>
    <row r="6571" spans="1:9" x14ac:dyDescent="0.3">
      <c r="A6571" t="s">
        <v>10144</v>
      </c>
      <c r="B6571" t="s">
        <v>89</v>
      </c>
      <c r="C6571">
        <v>9406582649</v>
      </c>
      <c r="D6571" s="2">
        <v>1</v>
      </c>
      <c r="E6571" t="str">
        <f>"4574674200843951"</f>
        <v>4574674200843951</v>
      </c>
      <c r="F6571" t="str">
        <f>"918"</f>
        <v>918</v>
      </c>
      <c r="G6571">
        <v>1</v>
      </c>
      <c r="H6571">
        <v>2023</v>
      </c>
      <c r="I6571" t="s">
        <v>6686</v>
      </c>
    </row>
    <row r="6572" spans="1:9" x14ac:dyDescent="0.3">
      <c r="A6572" t="s">
        <v>10144</v>
      </c>
      <c r="B6572" t="s">
        <v>89</v>
      </c>
      <c r="C6572">
        <v>9406582649</v>
      </c>
      <c r="D6572" s="2">
        <v>1</v>
      </c>
      <c r="E6572" t="str">
        <f>"4574674200844223"</f>
        <v>4574674200844223</v>
      </c>
      <c r="F6572" t="str">
        <f>"547"</f>
        <v>547</v>
      </c>
      <c r="G6572">
        <v>1</v>
      </c>
      <c r="H6572">
        <v>2023</v>
      </c>
      <c r="I6572" t="s">
        <v>6687</v>
      </c>
    </row>
    <row r="6573" spans="1:9" x14ac:dyDescent="0.3">
      <c r="A6573" t="s">
        <v>10144</v>
      </c>
      <c r="B6573" t="s">
        <v>89</v>
      </c>
      <c r="C6573">
        <v>9406582649</v>
      </c>
      <c r="D6573" s="2">
        <v>1</v>
      </c>
      <c r="E6573" t="str">
        <f>"4574674200843977"</f>
        <v>4574674200843977</v>
      </c>
      <c r="F6573" t="str">
        <f>"276"</f>
        <v>276</v>
      </c>
      <c r="G6573">
        <v>1</v>
      </c>
      <c r="H6573">
        <v>2023</v>
      </c>
      <c r="I6573" t="s">
        <v>6688</v>
      </c>
    </row>
    <row r="6574" spans="1:9" x14ac:dyDescent="0.3">
      <c r="A6574" t="s">
        <v>10144</v>
      </c>
      <c r="B6574" t="s">
        <v>89</v>
      </c>
      <c r="C6574">
        <v>9406582649</v>
      </c>
      <c r="D6574" s="2">
        <v>1</v>
      </c>
      <c r="E6574" t="str">
        <f>"4574674200844272"</f>
        <v>4574674200844272</v>
      </c>
      <c r="F6574" t="str">
        <f>"292"</f>
        <v>292</v>
      </c>
      <c r="G6574">
        <v>1</v>
      </c>
      <c r="H6574">
        <v>2023</v>
      </c>
      <c r="I6574" t="s">
        <v>6689</v>
      </c>
    </row>
    <row r="6575" spans="1:9" x14ac:dyDescent="0.3">
      <c r="A6575" t="s">
        <v>10144</v>
      </c>
      <c r="B6575" t="s">
        <v>89</v>
      </c>
      <c r="C6575">
        <v>9406582649</v>
      </c>
      <c r="D6575" s="2">
        <v>1</v>
      </c>
      <c r="E6575" t="str">
        <f>"4574674200844314"</f>
        <v>4574674200844314</v>
      </c>
      <c r="F6575" t="str">
        <f>"536"</f>
        <v>536</v>
      </c>
      <c r="G6575">
        <v>1</v>
      </c>
      <c r="H6575">
        <v>2023</v>
      </c>
      <c r="I6575" t="s">
        <v>6690</v>
      </c>
    </row>
    <row r="6576" spans="1:9" x14ac:dyDescent="0.3">
      <c r="A6576" t="s">
        <v>10144</v>
      </c>
      <c r="B6576" t="s">
        <v>89</v>
      </c>
      <c r="C6576">
        <v>9406582649</v>
      </c>
      <c r="D6576" s="2">
        <v>1</v>
      </c>
      <c r="E6576" t="str">
        <f>"4574674200844389"</f>
        <v>4574674200844389</v>
      </c>
      <c r="F6576" t="str">
        <f>"676"</f>
        <v>676</v>
      </c>
      <c r="G6576">
        <v>1</v>
      </c>
      <c r="H6576">
        <v>2023</v>
      </c>
      <c r="I6576" t="s">
        <v>6691</v>
      </c>
    </row>
    <row r="6577" spans="1:9" x14ac:dyDescent="0.3">
      <c r="A6577" t="s">
        <v>10144</v>
      </c>
      <c r="B6577" t="s">
        <v>89</v>
      </c>
      <c r="C6577">
        <v>9406582649</v>
      </c>
      <c r="D6577" s="2">
        <v>1</v>
      </c>
      <c r="E6577" t="str">
        <f>"4574674200844421"</f>
        <v>4574674200844421</v>
      </c>
      <c r="F6577" t="str">
        <f>"400"</f>
        <v>400</v>
      </c>
      <c r="G6577">
        <v>1</v>
      </c>
      <c r="H6577">
        <v>2023</v>
      </c>
      <c r="I6577" t="s">
        <v>6692</v>
      </c>
    </row>
    <row r="6578" spans="1:9" x14ac:dyDescent="0.3">
      <c r="A6578" t="s">
        <v>10145</v>
      </c>
      <c r="B6578" t="s">
        <v>90</v>
      </c>
      <c r="C6578">
        <v>9406582649</v>
      </c>
      <c r="D6578" s="2">
        <v>1</v>
      </c>
      <c r="E6578" t="str">
        <f>"4574674200844454"</f>
        <v>4574674200844454</v>
      </c>
      <c r="F6578" t="str">
        <f>"087"</f>
        <v>087</v>
      </c>
      <c r="G6578">
        <v>1</v>
      </c>
      <c r="H6578">
        <v>2023</v>
      </c>
      <c r="I6578" t="s">
        <v>6693</v>
      </c>
    </row>
    <row r="6579" spans="1:9" x14ac:dyDescent="0.3">
      <c r="A6579" t="s">
        <v>10145</v>
      </c>
      <c r="B6579" t="s">
        <v>90</v>
      </c>
      <c r="C6579">
        <v>9406582649</v>
      </c>
      <c r="D6579" s="2">
        <v>1</v>
      </c>
      <c r="E6579" t="str">
        <f>"4574674200844652"</f>
        <v>4574674200844652</v>
      </c>
      <c r="F6579" t="str">
        <f>"013"</f>
        <v>013</v>
      </c>
      <c r="G6579">
        <v>1</v>
      </c>
      <c r="H6579">
        <v>2023</v>
      </c>
      <c r="I6579" t="s">
        <v>6694</v>
      </c>
    </row>
    <row r="6580" spans="1:9" x14ac:dyDescent="0.3">
      <c r="A6580" t="s">
        <v>10145</v>
      </c>
      <c r="B6580" t="s">
        <v>90</v>
      </c>
      <c r="C6580">
        <v>9406582649</v>
      </c>
      <c r="D6580" s="2">
        <v>1</v>
      </c>
      <c r="E6580" t="str">
        <f>"4574674200844488"</f>
        <v>4574674200844488</v>
      </c>
      <c r="F6580" t="str">
        <f>"608"</f>
        <v>608</v>
      </c>
      <c r="G6580">
        <v>1</v>
      </c>
      <c r="H6580">
        <v>2023</v>
      </c>
      <c r="I6580" t="s">
        <v>6695</v>
      </c>
    </row>
    <row r="6581" spans="1:9" x14ac:dyDescent="0.3">
      <c r="A6581" t="s">
        <v>10145</v>
      </c>
      <c r="B6581" t="s">
        <v>90</v>
      </c>
      <c r="C6581">
        <v>9406582649</v>
      </c>
      <c r="D6581" s="2">
        <v>1</v>
      </c>
      <c r="E6581" t="str">
        <f>"4574674200844496"</f>
        <v>4574674200844496</v>
      </c>
      <c r="F6581" t="str">
        <f>"072"</f>
        <v>072</v>
      </c>
      <c r="G6581">
        <v>1</v>
      </c>
      <c r="H6581">
        <v>2023</v>
      </c>
      <c r="I6581" t="s">
        <v>6696</v>
      </c>
    </row>
    <row r="6582" spans="1:9" x14ac:dyDescent="0.3">
      <c r="A6582" t="s">
        <v>10145</v>
      </c>
      <c r="B6582" t="s">
        <v>90</v>
      </c>
      <c r="C6582">
        <v>9406582649</v>
      </c>
      <c r="D6582" s="2">
        <v>1</v>
      </c>
      <c r="E6582" t="str">
        <f>"4574674200844678"</f>
        <v>4574674200844678</v>
      </c>
      <c r="F6582" t="str">
        <f>"393"</f>
        <v>393</v>
      </c>
      <c r="G6582">
        <v>1</v>
      </c>
      <c r="H6582">
        <v>2023</v>
      </c>
      <c r="I6582" t="s">
        <v>6697</v>
      </c>
    </row>
    <row r="6583" spans="1:9" x14ac:dyDescent="0.3">
      <c r="A6583" t="s">
        <v>10145</v>
      </c>
      <c r="B6583" t="s">
        <v>90</v>
      </c>
      <c r="C6583">
        <v>9406582649</v>
      </c>
      <c r="D6583" s="2">
        <v>1</v>
      </c>
      <c r="E6583" t="str">
        <f>"4574674200844744"</f>
        <v>4574674200844744</v>
      </c>
      <c r="F6583" t="str">
        <f>"858"</f>
        <v>858</v>
      </c>
      <c r="G6583">
        <v>1</v>
      </c>
      <c r="H6583">
        <v>2023</v>
      </c>
      <c r="I6583" t="s">
        <v>6698</v>
      </c>
    </row>
    <row r="6584" spans="1:9" x14ac:dyDescent="0.3">
      <c r="A6584" t="s">
        <v>10145</v>
      </c>
      <c r="B6584" t="s">
        <v>90</v>
      </c>
      <c r="C6584">
        <v>9406582649</v>
      </c>
      <c r="D6584" s="2">
        <v>1</v>
      </c>
      <c r="E6584" t="str">
        <f>"4574674200844827"</f>
        <v>4574674200844827</v>
      </c>
      <c r="F6584" t="str">
        <f>"676"</f>
        <v>676</v>
      </c>
      <c r="G6584">
        <v>1</v>
      </c>
      <c r="H6584">
        <v>2023</v>
      </c>
      <c r="I6584" t="s">
        <v>6699</v>
      </c>
    </row>
    <row r="6585" spans="1:9" x14ac:dyDescent="0.3">
      <c r="A6585" t="s">
        <v>10145</v>
      </c>
      <c r="B6585" t="s">
        <v>90</v>
      </c>
      <c r="C6585">
        <v>9406582649</v>
      </c>
      <c r="D6585" s="2">
        <v>1</v>
      </c>
      <c r="E6585" t="str">
        <f>"4574674200844553"</f>
        <v>4574674200844553</v>
      </c>
      <c r="F6585" t="str">
        <f>"371"</f>
        <v>371</v>
      </c>
      <c r="G6585">
        <v>1</v>
      </c>
      <c r="H6585">
        <v>2023</v>
      </c>
      <c r="I6585" t="s">
        <v>6700</v>
      </c>
    </row>
    <row r="6586" spans="1:9" x14ac:dyDescent="0.3">
      <c r="A6586" t="s">
        <v>10145</v>
      </c>
      <c r="B6586" t="s">
        <v>90</v>
      </c>
      <c r="C6586">
        <v>9406582649</v>
      </c>
      <c r="D6586" s="2">
        <v>1</v>
      </c>
      <c r="E6586" t="str">
        <f>"4574674200844843"</f>
        <v>4574674200844843</v>
      </c>
      <c r="F6586" t="str">
        <f>"527"</f>
        <v>527</v>
      </c>
      <c r="G6586">
        <v>1</v>
      </c>
      <c r="H6586">
        <v>2023</v>
      </c>
      <c r="I6586" t="s">
        <v>6701</v>
      </c>
    </row>
    <row r="6587" spans="1:9" x14ac:dyDescent="0.3">
      <c r="A6587" t="s">
        <v>10145</v>
      </c>
      <c r="B6587" t="s">
        <v>90</v>
      </c>
      <c r="C6587">
        <v>9406582649</v>
      </c>
      <c r="D6587" s="2">
        <v>1</v>
      </c>
      <c r="E6587" t="str">
        <f>"4574674200844561"</f>
        <v>4574674200844561</v>
      </c>
      <c r="F6587" t="str">
        <f>"108"</f>
        <v>108</v>
      </c>
      <c r="G6587">
        <v>1</v>
      </c>
      <c r="H6587">
        <v>2023</v>
      </c>
      <c r="I6587" t="s">
        <v>6702</v>
      </c>
    </row>
    <row r="6588" spans="1:9" x14ac:dyDescent="0.3">
      <c r="A6588" t="s">
        <v>10146</v>
      </c>
      <c r="B6588" t="s">
        <v>91</v>
      </c>
      <c r="C6588">
        <v>9406582649</v>
      </c>
      <c r="D6588" s="2">
        <v>1</v>
      </c>
      <c r="E6588" t="str">
        <f>"4574674200844587"</f>
        <v>4574674200844587</v>
      </c>
      <c r="F6588" t="str">
        <f>"950"</f>
        <v>950</v>
      </c>
      <c r="G6588">
        <v>1</v>
      </c>
      <c r="H6588">
        <v>2023</v>
      </c>
      <c r="I6588" t="s">
        <v>6703</v>
      </c>
    </row>
    <row r="6589" spans="1:9" x14ac:dyDescent="0.3">
      <c r="A6589" t="s">
        <v>10146</v>
      </c>
      <c r="B6589" t="s">
        <v>91</v>
      </c>
      <c r="C6589">
        <v>9406582649</v>
      </c>
      <c r="D6589" s="2">
        <v>1</v>
      </c>
      <c r="E6589" t="str">
        <f>"4574674200844892"</f>
        <v>4574674200844892</v>
      </c>
      <c r="F6589" t="str">
        <f>"511"</f>
        <v>511</v>
      </c>
      <c r="G6589">
        <v>1</v>
      </c>
      <c r="H6589">
        <v>2023</v>
      </c>
      <c r="I6589" t="s">
        <v>6704</v>
      </c>
    </row>
    <row r="6590" spans="1:9" x14ac:dyDescent="0.3">
      <c r="A6590" t="s">
        <v>10146</v>
      </c>
      <c r="B6590" t="s">
        <v>91</v>
      </c>
      <c r="C6590">
        <v>9406582649</v>
      </c>
      <c r="D6590" s="2">
        <v>1</v>
      </c>
      <c r="E6590" t="str">
        <f>"4574674200845014"</f>
        <v>4574674200845014</v>
      </c>
      <c r="F6590" t="str">
        <f>"736"</f>
        <v>736</v>
      </c>
      <c r="G6590">
        <v>1</v>
      </c>
      <c r="H6590">
        <v>2023</v>
      </c>
      <c r="I6590" t="s">
        <v>6705</v>
      </c>
    </row>
    <row r="6591" spans="1:9" x14ac:dyDescent="0.3">
      <c r="A6591" t="s">
        <v>10146</v>
      </c>
      <c r="B6591" t="s">
        <v>91</v>
      </c>
      <c r="C6591">
        <v>9406582649</v>
      </c>
      <c r="D6591" s="2">
        <v>1</v>
      </c>
      <c r="E6591" t="str">
        <f>"4574674200844983"</f>
        <v>4574674200844983</v>
      </c>
      <c r="F6591" t="str">
        <f>"721"</f>
        <v>721</v>
      </c>
      <c r="G6591">
        <v>1</v>
      </c>
      <c r="H6591">
        <v>2023</v>
      </c>
      <c r="I6591" t="s">
        <v>6706</v>
      </c>
    </row>
    <row r="6592" spans="1:9" x14ac:dyDescent="0.3">
      <c r="A6592" t="s">
        <v>10146</v>
      </c>
      <c r="B6592" t="s">
        <v>91</v>
      </c>
      <c r="C6592">
        <v>9406582649</v>
      </c>
      <c r="D6592" s="2">
        <v>1</v>
      </c>
      <c r="E6592" t="str">
        <f>"4574674200844975"</f>
        <v>4574674200844975</v>
      </c>
      <c r="F6592" t="str">
        <f>"440"</f>
        <v>440</v>
      </c>
      <c r="G6592">
        <v>1</v>
      </c>
      <c r="H6592">
        <v>2023</v>
      </c>
      <c r="I6592" t="s">
        <v>6707</v>
      </c>
    </row>
    <row r="6593" spans="1:9" x14ac:dyDescent="0.3">
      <c r="A6593" t="s">
        <v>10146</v>
      </c>
      <c r="B6593" t="s">
        <v>91</v>
      </c>
      <c r="C6593">
        <v>9406582649</v>
      </c>
      <c r="D6593" s="2">
        <v>1</v>
      </c>
      <c r="E6593" t="str">
        <f>"4574674200845089"</f>
        <v>4574674200845089</v>
      </c>
      <c r="F6593" t="str">
        <f>"712"</f>
        <v>712</v>
      </c>
      <c r="G6593">
        <v>1</v>
      </c>
      <c r="H6593">
        <v>2023</v>
      </c>
      <c r="I6593" t="s">
        <v>6708</v>
      </c>
    </row>
    <row r="6594" spans="1:9" x14ac:dyDescent="0.3">
      <c r="A6594" t="s">
        <v>10146</v>
      </c>
      <c r="B6594" t="s">
        <v>91</v>
      </c>
      <c r="C6594">
        <v>9406582649</v>
      </c>
      <c r="D6594" s="2">
        <v>1</v>
      </c>
      <c r="E6594" t="str">
        <f>"4574674200845071"</f>
        <v>4574674200845071</v>
      </c>
      <c r="F6594" t="str">
        <f>"658"</f>
        <v>658</v>
      </c>
      <c r="G6594">
        <v>1</v>
      </c>
      <c r="H6594">
        <v>2023</v>
      </c>
      <c r="I6594" t="s">
        <v>6709</v>
      </c>
    </row>
    <row r="6595" spans="1:9" x14ac:dyDescent="0.3">
      <c r="A6595" t="s">
        <v>10146</v>
      </c>
      <c r="B6595" t="s">
        <v>91</v>
      </c>
      <c r="C6595">
        <v>9406582649</v>
      </c>
      <c r="D6595" s="2">
        <v>1</v>
      </c>
      <c r="E6595" t="str">
        <f>"4574674200845295"</f>
        <v>4574674200845295</v>
      </c>
      <c r="F6595" t="str">
        <f>"473"</f>
        <v>473</v>
      </c>
      <c r="G6595">
        <v>1</v>
      </c>
      <c r="H6595">
        <v>2023</v>
      </c>
      <c r="I6595" t="s">
        <v>6710</v>
      </c>
    </row>
    <row r="6596" spans="1:9" x14ac:dyDescent="0.3">
      <c r="A6596" t="s">
        <v>10146</v>
      </c>
      <c r="B6596" t="s">
        <v>91</v>
      </c>
      <c r="C6596">
        <v>9406582649</v>
      </c>
      <c r="D6596" s="2">
        <v>1</v>
      </c>
      <c r="E6596" t="str">
        <f>"4574674200845345"</f>
        <v>4574674200845345</v>
      </c>
      <c r="F6596" t="str">
        <f>"743"</f>
        <v>743</v>
      </c>
      <c r="G6596">
        <v>1</v>
      </c>
      <c r="H6596">
        <v>2023</v>
      </c>
      <c r="I6596" t="s">
        <v>6711</v>
      </c>
    </row>
    <row r="6597" spans="1:9" x14ac:dyDescent="0.3">
      <c r="A6597" t="s">
        <v>10146</v>
      </c>
      <c r="B6597" t="s">
        <v>91</v>
      </c>
      <c r="C6597">
        <v>9406582649</v>
      </c>
      <c r="D6597" s="2">
        <v>1</v>
      </c>
      <c r="E6597" t="str">
        <f>"4574674200845113"</f>
        <v>4574674200845113</v>
      </c>
      <c r="F6597" t="str">
        <f>"906"</f>
        <v>906</v>
      </c>
      <c r="G6597">
        <v>1</v>
      </c>
      <c r="H6597">
        <v>2023</v>
      </c>
      <c r="I6597" t="s">
        <v>6712</v>
      </c>
    </row>
    <row r="6598" spans="1:9" x14ac:dyDescent="0.3">
      <c r="A6598" t="s">
        <v>10147</v>
      </c>
      <c r="B6598" t="s">
        <v>92</v>
      </c>
      <c r="C6598">
        <v>9406582649</v>
      </c>
      <c r="D6598" s="2">
        <v>1</v>
      </c>
      <c r="E6598" t="str">
        <f>"4574674200845139"</f>
        <v>4574674200845139</v>
      </c>
      <c r="F6598" t="str">
        <f>"063"</f>
        <v>063</v>
      </c>
      <c r="G6598">
        <v>1</v>
      </c>
      <c r="H6598">
        <v>2023</v>
      </c>
      <c r="I6598" t="s">
        <v>6713</v>
      </c>
    </row>
    <row r="6599" spans="1:9" x14ac:dyDescent="0.3">
      <c r="A6599" t="s">
        <v>10147</v>
      </c>
      <c r="B6599" t="s">
        <v>92</v>
      </c>
      <c r="C6599">
        <v>9406582649</v>
      </c>
      <c r="D6599" s="2">
        <v>1</v>
      </c>
      <c r="E6599" t="str">
        <f>"4574674200845360"</f>
        <v>4574674200845360</v>
      </c>
      <c r="F6599" t="str">
        <f>"903"</f>
        <v>903</v>
      </c>
      <c r="G6599">
        <v>1</v>
      </c>
      <c r="H6599">
        <v>2023</v>
      </c>
      <c r="I6599" t="s">
        <v>6714</v>
      </c>
    </row>
    <row r="6600" spans="1:9" x14ac:dyDescent="0.3">
      <c r="A6600" t="s">
        <v>10147</v>
      </c>
      <c r="B6600" t="s">
        <v>92</v>
      </c>
      <c r="C6600">
        <v>9406582649</v>
      </c>
      <c r="D6600" s="2">
        <v>1</v>
      </c>
      <c r="E6600" t="str">
        <f>"4574674200845444"</f>
        <v>4574674200845444</v>
      </c>
      <c r="F6600" t="str">
        <f>"946"</f>
        <v>946</v>
      </c>
      <c r="G6600">
        <v>1</v>
      </c>
      <c r="H6600">
        <v>2023</v>
      </c>
      <c r="I6600" t="s">
        <v>6715</v>
      </c>
    </row>
    <row r="6601" spans="1:9" x14ac:dyDescent="0.3">
      <c r="A6601" t="s">
        <v>10147</v>
      </c>
      <c r="B6601" t="s">
        <v>92</v>
      </c>
      <c r="C6601">
        <v>9406582649</v>
      </c>
      <c r="D6601" s="2">
        <v>1</v>
      </c>
      <c r="E6601" t="str">
        <f>"4574674200845469"</f>
        <v>4574674200845469</v>
      </c>
      <c r="F6601" t="str">
        <f>"622"</f>
        <v>622</v>
      </c>
      <c r="G6601">
        <v>1</v>
      </c>
      <c r="H6601">
        <v>2023</v>
      </c>
      <c r="I6601" t="s">
        <v>6716</v>
      </c>
    </row>
    <row r="6602" spans="1:9" x14ac:dyDescent="0.3">
      <c r="A6602" t="s">
        <v>10147</v>
      </c>
      <c r="B6602" t="s">
        <v>92</v>
      </c>
      <c r="C6602">
        <v>9406582649</v>
      </c>
      <c r="D6602" s="2">
        <v>1</v>
      </c>
      <c r="E6602" t="str">
        <f>"4574674200845527"</f>
        <v>4574674200845527</v>
      </c>
      <c r="F6602" t="str">
        <f>"094"</f>
        <v>094</v>
      </c>
      <c r="G6602">
        <v>1</v>
      </c>
      <c r="H6602">
        <v>2023</v>
      </c>
      <c r="I6602" t="s">
        <v>6717</v>
      </c>
    </row>
    <row r="6603" spans="1:9" x14ac:dyDescent="0.3">
      <c r="A6603" t="s">
        <v>10147</v>
      </c>
      <c r="B6603" t="s">
        <v>92</v>
      </c>
      <c r="C6603">
        <v>9406582649</v>
      </c>
      <c r="D6603" s="2">
        <v>1</v>
      </c>
      <c r="E6603" t="str">
        <f>"4574674200845618"</f>
        <v>4574674200845618</v>
      </c>
      <c r="F6603" t="str">
        <f>"838"</f>
        <v>838</v>
      </c>
      <c r="G6603">
        <v>1</v>
      </c>
      <c r="H6603">
        <v>2023</v>
      </c>
      <c r="I6603" t="s">
        <v>6718</v>
      </c>
    </row>
    <row r="6604" spans="1:9" x14ac:dyDescent="0.3">
      <c r="A6604" t="s">
        <v>10147</v>
      </c>
      <c r="B6604" t="s">
        <v>92</v>
      </c>
      <c r="C6604">
        <v>9406582649</v>
      </c>
      <c r="D6604" s="2">
        <v>1</v>
      </c>
      <c r="E6604" t="str">
        <f>"4574674200845659"</f>
        <v>4574674200845659</v>
      </c>
      <c r="F6604" t="str">
        <f>"497"</f>
        <v>497</v>
      </c>
      <c r="G6604">
        <v>1</v>
      </c>
      <c r="H6604">
        <v>2023</v>
      </c>
      <c r="I6604" t="s">
        <v>6719</v>
      </c>
    </row>
    <row r="6605" spans="1:9" x14ac:dyDescent="0.3">
      <c r="A6605" t="s">
        <v>10147</v>
      </c>
      <c r="B6605" t="s">
        <v>92</v>
      </c>
      <c r="C6605">
        <v>9406582649</v>
      </c>
      <c r="D6605" s="2">
        <v>1</v>
      </c>
      <c r="E6605" t="str">
        <f>"4574674200845196"</f>
        <v>4574674200845196</v>
      </c>
      <c r="F6605" t="str">
        <f>"842"</f>
        <v>842</v>
      </c>
      <c r="G6605">
        <v>1</v>
      </c>
      <c r="H6605">
        <v>2023</v>
      </c>
      <c r="I6605" t="s">
        <v>6720</v>
      </c>
    </row>
    <row r="6606" spans="1:9" x14ac:dyDescent="0.3">
      <c r="A6606" t="s">
        <v>10147</v>
      </c>
      <c r="B6606" t="s">
        <v>92</v>
      </c>
      <c r="C6606">
        <v>9406582649</v>
      </c>
      <c r="D6606" s="2">
        <v>1</v>
      </c>
      <c r="E6606" t="str">
        <f>"4574674200845600"</f>
        <v>4574674200845600</v>
      </c>
      <c r="F6606" t="str">
        <f>"813"</f>
        <v>813</v>
      </c>
      <c r="G6606">
        <v>1</v>
      </c>
      <c r="H6606">
        <v>2023</v>
      </c>
      <c r="I6606" t="s">
        <v>6721</v>
      </c>
    </row>
    <row r="6607" spans="1:9" x14ac:dyDescent="0.3">
      <c r="A6607" t="s">
        <v>10147</v>
      </c>
      <c r="B6607" t="s">
        <v>92</v>
      </c>
      <c r="C6607">
        <v>9406582649</v>
      </c>
      <c r="D6607" s="2">
        <v>1</v>
      </c>
      <c r="E6607" t="str">
        <f>"4574674200845584"</f>
        <v>4574674200845584</v>
      </c>
      <c r="F6607" t="str">
        <f>"507"</f>
        <v>507</v>
      </c>
      <c r="G6607">
        <v>1</v>
      </c>
      <c r="H6607">
        <v>2023</v>
      </c>
      <c r="I6607" t="s">
        <v>6722</v>
      </c>
    </row>
    <row r="6608" spans="1:9" x14ac:dyDescent="0.3">
      <c r="A6608" t="s">
        <v>10148</v>
      </c>
      <c r="B6608" t="s">
        <v>93</v>
      </c>
      <c r="C6608">
        <v>9406582649</v>
      </c>
      <c r="D6608" s="2">
        <v>1</v>
      </c>
      <c r="E6608" t="str">
        <f>"4574674200845592"</f>
        <v>4574674200845592</v>
      </c>
      <c r="F6608" t="str">
        <f>"677"</f>
        <v>677</v>
      </c>
      <c r="G6608">
        <v>1</v>
      </c>
      <c r="H6608">
        <v>2023</v>
      </c>
      <c r="I6608" t="s">
        <v>6723</v>
      </c>
    </row>
    <row r="6609" spans="1:9" x14ac:dyDescent="0.3">
      <c r="A6609" t="s">
        <v>10148</v>
      </c>
      <c r="B6609" t="s">
        <v>93</v>
      </c>
      <c r="C6609">
        <v>9406582649</v>
      </c>
      <c r="D6609" s="2">
        <v>1</v>
      </c>
      <c r="E6609" t="str">
        <f>"4574674200845899"</f>
        <v>4574674200845899</v>
      </c>
      <c r="F6609" t="str">
        <f>"828"</f>
        <v>828</v>
      </c>
      <c r="G6609">
        <v>1</v>
      </c>
      <c r="H6609">
        <v>2023</v>
      </c>
      <c r="I6609" t="s">
        <v>6724</v>
      </c>
    </row>
    <row r="6610" spans="1:9" x14ac:dyDescent="0.3">
      <c r="A6610" t="s">
        <v>10148</v>
      </c>
      <c r="B6610" t="s">
        <v>93</v>
      </c>
      <c r="C6610">
        <v>9406582649</v>
      </c>
      <c r="D6610" s="2">
        <v>1</v>
      </c>
      <c r="E6610" t="str">
        <f>"4574674200845931"</f>
        <v>4574674200845931</v>
      </c>
      <c r="F6610" t="str">
        <f>"243"</f>
        <v>243</v>
      </c>
      <c r="G6610">
        <v>1</v>
      </c>
      <c r="H6610">
        <v>2023</v>
      </c>
      <c r="I6610" t="s">
        <v>6725</v>
      </c>
    </row>
    <row r="6611" spans="1:9" x14ac:dyDescent="0.3">
      <c r="A6611" t="s">
        <v>10148</v>
      </c>
      <c r="B6611" t="s">
        <v>93</v>
      </c>
      <c r="C6611">
        <v>9406582649</v>
      </c>
      <c r="D6611" s="2">
        <v>1</v>
      </c>
      <c r="E6611" t="str">
        <f>"4574674200845949"</f>
        <v>4574674200845949</v>
      </c>
      <c r="F6611" t="str">
        <f>"190"</f>
        <v>190</v>
      </c>
      <c r="G6611">
        <v>1</v>
      </c>
      <c r="H6611">
        <v>2023</v>
      </c>
      <c r="I6611" t="s">
        <v>6726</v>
      </c>
    </row>
    <row r="6612" spans="1:9" x14ac:dyDescent="0.3">
      <c r="A6612" t="s">
        <v>10148</v>
      </c>
      <c r="B6612" t="s">
        <v>93</v>
      </c>
      <c r="C6612">
        <v>9406582649</v>
      </c>
      <c r="D6612" s="2">
        <v>1</v>
      </c>
      <c r="E6612" t="str">
        <f>"4574674200845733"</f>
        <v>4574674200845733</v>
      </c>
      <c r="F6612" t="str">
        <f>"263"</f>
        <v>263</v>
      </c>
      <c r="G6612">
        <v>1</v>
      </c>
      <c r="H6612">
        <v>2023</v>
      </c>
      <c r="I6612" t="s">
        <v>6727</v>
      </c>
    </row>
    <row r="6613" spans="1:9" x14ac:dyDescent="0.3">
      <c r="A6613" t="s">
        <v>10148</v>
      </c>
      <c r="B6613" t="s">
        <v>93</v>
      </c>
      <c r="C6613">
        <v>9406582649</v>
      </c>
      <c r="D6613" s="2">
        <v>1</v>
      </c>
      <c r="E6613" t="str">
        <f>"4574674200845725"</f>
        <v>4574674200845725</v>
      </c>
      <c r="F6613" t="str">
        <f>"390"</f>
        <v>390</v>
      </c>
      <c r="G6613">
        <v>1</v>
      </c>
      <c r="H6613">
        <v>2023</v>
      </c>
      <c r="I6613" t="s">
        <v>6728</v>
      </c>
    </row>
    <row r="6614" spans="1:9" x14ac:dyDescent="0.3">
      <c r="A6614" t="s">
        <v>10148</v>
      </c>
      <c r="B6614" t="s">
        <v>93</v>
      </c>
      <c r="C6614">
        <v>9406582649</v>
      </c>
      <c r="D6614" s="2">
        <v>1</v>
      </c>
      <c r="E6614" t="str">
        <f>"4574674200845717"</f>
        <v>4574674200845717</v>
      </c>
      <c r="F6614" t="str">
        <f>"750"</f>
        <v>750</v>
      </c>
      <c r="G6614">
        <v>1</v>
      </c>
      <c r="H6614">
        <v>2023</v>
      </c>
      <c r="I6614" t="s">
        <v>6729</v>
      </c>
    </row>
    <row r="6615" spans="1:9" x14ac:dyDescent="0.3">
      <c r="A6615" t="s">
        <v>10148</v>
      </c>
      <c r="B6615" t="s">
        <v>93</v>
      </c>
      <c r="C6615">
        <v>9406582649</v>
      </c>
      <c r="D6615" s="2">
        <v>1</v>
      </c>
      <c r="E6615" t="str">
        <f>"4574674200845766"</f>
        <v>4574674200845766</v>
      </c>
      <c r="F6615" t="str">
        <f>"440"</f>
        <v>440</v>
      </c>
      <c r="G6615">
        <v>1</v>
      </c>
      <c r="H6615">
        <v>2023</v>
      </c>
      <c r="I6615" t="s">
        <v>6730</v>
      </c>
    </row>
    <row r="6616" spans="1:9" x14ac:dyDescent="0.3">
      <c r="A6616" t="s">
        <v>10148</v>
      </c>
      <c r="B6616" t="s">
        <v>93</v>
      </c>
      <c r="C6616">
        <v>9406582649</v>
      </c>
      <c r="D6616" s="2">
        <v>1</v>
      </c>
      <c r="E6616" t="str">
        <f>"4574674200846053"</f>
        <v>4574674200846053</v>
      </c>
      <c r="F6616" t="str">
        <f>"166"</f>
        <v>166</v>
      </c>
      <c r="G6616">
        <v>1</v>
      </c>
      <c r="H6616">
        <v>2023</v>
      </c>
      <c r="I6616" t="s">
        <v>6731</v>
      </c>
    </row>
    <row r="6617" spans="1:9" x14ac:dyDescent="0.3">
      <c r="A6617" t="s">
        <v>10148</v>
      </c>
      <c r="B6617" t="s">
        <v>93</v>
      </c>
      <c r="C6617">
        <v>9406582649</v>
      </c>
      <c r="D6617" s="2">
        <v>1</v>
      </c>
      <c r="E6617" t="str">
        <f>"4574674200846095"</f>
        <v>4574674200846095</v>
      </c>
      <c r="F6617" t="str">
        <f>"374"</f>
        <v>374</v>
      </c>
      <c r="G6617">
        <v>1</v>
      </c>
      <c r="H6617">
        <v>2023</v>
      </c>
      <c r="I6617" t="s">
        <v>6732</v>
      </c>
    </row>
    <row r="6618" spans="1:9" x14ac:dyDescent="0.3">
      <c r="A6618" t="s">
        <v>10149</v>
      </c>
      <c r="B6618" t="s">
        <v>94</v>
      </c>
      <c r="C6618">
        <v>9406582649</v>
      </c>
      <c r="D6618" s="2">
        <v>1</v>
      </c>
      <c r="E6618" t="str">
        <f>"4574674200846103"</f>
        <v>4574674200846103</v>
      </c>
      <c r="F6618" t="str">
        <f>"043"</f>
        <v>043</v>
      </c>
      <c r="G6618">
        <v>1</v>
      </c>
      <c r="H6618">
        <v>2023</v>
      </c>
      <c r="I6618" t="s">
        <v>6733</v>
      </c>
    </row>
    <row r="6619" spans="1:9" x14ac:dyDescent="0.3">
      <c r="A6619" t="s">
        <v>10149</v>
      </c>
      <c r="B6619" t="s">
        <v>94</v>
      </c>
      <c r="C6619">
        <v>9406582649</v>
      </c>
      <c r="D6619" s="2">
        <v>1</v>
      </c>
      <c r="E6619" t="str">
        <f>"4574674200846418"</f>
        <v>4574674200846418</v>
      </c>
      <c r="F6619" t="str">
        <f>"254"</f>
        <v>254</v>
      </c>
      <c r="G6619">
        <v>1</v>
      </c>
      <c r="H6619">
        <v>2023</v>
      </c>
      <c r="I6619" t="s">
        <v>6734</v>
      </c>
    </row>
    <row r="6620" spans="1:9" x14ac:dyDescent="0.3">
      <c r="A6620" t="s">
        <v>10149</v>
      </c>
      <c r="B6620" t="s">
        <v>94</v>
      </c>
      <c r="C6620">
        <v>9406582649</v>
      </c>
      <c r="D6620" s="2">
        <v>1</v>
      </c>
      <c r="E6620" t="str">
        <f>"4574674200846434"</f>
        <v>4574674200846434</v>
      </c>
      <c r="F6620" t="str">
        <f>"884"</f>
        <v>884</v>
      </c>
      <c r="G6620">
        <v>1</v>
      </c>
      <c r="H6620">
        <v>2023</v>
      </c>
      <c r="I6620" t="s">
        <v>6735</v>
      </c>
    </row>
    <row r="6621" spans="1:9" x14ac:dyDescent="0.3">
      <c r="A6621" t="s">
        <v>10149</v>
      </c>
      <c r="B6621" t="s">
        <v>94</v>
      </c>
      <c r="C6621">
        <v>9406582649</v>
      </c>
      <c r="D6621" s="2">
        <v>1</v>
      </c>
      <c r="E6621" t="str">
        <f>"4574674200846228"</f>
        <v>4574674200846228</v>
      </c>
      <c r="F6621" t="str">
        <f>"892"</f>
        <v>892</v>
      </c>
      <c r="G6621">
        <v>1</v>
      </c>
      <c r="H6621">
        <v>2023</v>
      </c>
      <c r="I6621" t="s">
        <v>6736</v>
      </c>
    </row>
    <row r="6622" spans="1:9" x14ac:dyDescent="0.3">
      <c r="A6622" t="s">
        <v>10149</v>
      </c>
      <c r="B6622" t="s">
        <v>94</v>
      </c>
      <c r="C6622">
        <v>9406582649</v>
      </c>
      <c r="D6622" s="2">
        <v>1</v>
      </c>
      <c r="E6622" t="str">
        <f>"4574674200846236"</f>
        <v>4574674200846236</v>
      </c>
      <c r="F6622" t="str">
        <f>"666"</f>
        <v>666</v>
      </c>
      <c r="G6622">
        <v>1</v>
      </c>
      <c r="H6622">
        <v>2023</v>
      </c>
      <c r="I6622" t="s">
        <v>6737</v>
      </c>
    </row>
    <row r="6623" spans="1:9" x14ac:dyDescent="0.3">
      <c r="A6623" t="s">
        <v>10149</v>
      </c>
      <c r="B6623" t="s">
        <v>94</v>
      </c>
      <c r="C6623">
        <v>9406582649</v>
      </c>
      <c r="D6623" s="2">
        <v>1</v>
      </c>
      <c r="E6623" t="str">
        <f>"4574674200846251"</f>
        <v>4574674200846251</v>
      </c>
      <c r="F6623" t="str">
        <f>"498"</f>
        <v>498</v>
      </c>
      <c r="G6623">
        <v>1</v>
      </c>
      <c r="H6623">
        <v>2023</v>
      </c>
      <c r="I6623" t="s">
        <v>6738</v>
      </c>
    </row>
    <row r="6624" spans="1:9" x14ac:dyDescent="0.3">
      <c r="A6624" t="s">
        <v>10149</v>
      </c>
      <c r="B6624" t="s">
        <v>94</v>
      </c>
      <c r="C6624">
        <v>9406582649</v>
      </c>
      <c r="D6624" s="2">
        <v>1</v>
      </c>
      <c r="E6624" t="str">
        <f>"4574674200846491"</f>
        <v>4574674200846491</v>
      </c>
      <c r="F6624" t="str">
        <f>"743"</f>
        <v>743</v>
      </c>
      <c r="G6624">
        <v>1</v>
      </c>
      <c r="H6624">
        <v>2023</v>
      </c>
      <c r="I6624" t="s">
        <v>6739</v>
      </c>
    </row>
    <row r="6625" spans="1:9" x14ac:dyDescent="0.3">
      <c r="A6625" t="s">
        <v>10149</v>
      </c>
      <c r="B6625" t="s">
        <v>94</v>
      </c>
      <c r="C6625">
        <v>9406582649</v>
      </c>
      <c r="D6625" s="2">
        <v>1</v>
      </c>
      <c r="E6625" t="str">
        <f>"4574674200846293"</f>
        <v>4574674200846293</v>
      </c>
      <c r="F6625" t="str">
        <f>"794"</f>
        <v>794</v>
      </c>
      <c r="G6625">
        <v>1</v>
      </c>
      <c r="H6625">
        <v>2023</v>
      </c>
      <c r="I6625" t="s">
        <v>6740</v>
      </c>
    </row>
    <row r="6626" spans="1:9" x14ac:dyDescent="0.3">
      <c r="A6626" t="s">
        <v>10149</v>
      </c>
      <c r="B6626" t="s">
        <v>94</v>
      </c>
      <c r="C6626">
        <v>9406582649</v>
      </c>
      <c r="D6626" s="2">
        <v>1</v>
      </c>
      <c r="E6626" t="str">
        <f>"4574674200846566"</f>
        <v>4574674200846566</v>
      </c>
      <c r="F6626" t="str">
        <f>"509"</f>
        <v>509</v>
      </c>
      <c r="G6626">
        <v>1</v>
      </c>
      <c r="H6626">
        <v>2023</v>
      </c>
      <c r="I6626" t="s">
        <v>6741</v>
      </c>
    </row>
    <row r="6627" spans="1:9" x14ac:dyDescent="0.3">
      <c r="A6627" t="s">
        <v>10149</v>
      </c>
      <c r="B6627" t="s">
        <v>94</v>
      </c>
      <c r="C6627">
        <v>9406582649</v>
      </c>
      <c r="D6627" s="2">
        <v>1</v>
      </c>
      <c r="E6627" t="str">
        <f>"4574674200846590"</f>
        <v>4574674200846590</v>
      </c>
      <c r="F6627" t="str">
        <f>"639"</f>
        <v>639</v>
      </c>
      <c r="G6627">
        <v>1</v>
      </c>
      <c r="H6627">
        <v>2023</v>
      </c>
      <c r="I6627" t="s">
        <v>6742</v>
      </c>
    </row>
    <row r="6628" spans="1:9" x14ac:dyDescent="0.3">
      <c r="A6628" t="s">
        <v>10118</v>
      </c>
      <c r="B6628" t="s">
        <v>95</v>
      </c>
      <c r="C6628">
        <v>9406582649</v>
      </c>
      <c r="D6628" s="2">
        <v>1</v>
      </c>
      <c r="E6628" t="str">
        <f>"4574674200846640"</f>
        <v>4574674200846640</v>
      </c>
      <c r="F6628" t="str">
        <f>"883"</f>
        <v>883</v>
      </c>
      <c r="G6628">
        <v>1</v>
      </c>
      <c r="H6628">
        <v>2023</v>
      </c>
      <c r="I6628" t="s">
        <v>6743</v>
      </c>
    </row>
    <row r="6629" spans="1:9" x14ac:dyDescent="0.3">
      <c r="A6629" t="s">
        <v>10118</v>
      </c>
      <c r="B6629" t="s">
        <v>95</v>
      </c>
      <c r="C6629">
        <v>9406582649</v>
      </c>
      <c r="D6629" s="2">
        <v>1</v>
      </c>
      <c r="E6629" t="str">
        <f>"4574674200846368"</f>
        <v>4574674200846368</v>
      </c>
      <c r="F6629" t="str">
        <f>"062"</f>
        <v>062</v>
      </c>
      <c r="G6629">
        <v>1</v>
      </c>
      <c r="H6629">
        <v>2023</v>
      </c>
      <c r="I6629" t="s">
        <v>6744</v>
      </c>
    </row>
    <row r="6630" spans="1:9" x14ac:dyDescent="0.3">
      <c r="A6630" t="s">
        <v>10118</v>
      </c>
      <c r="B6630" t="s">
        <v>95</v>
      </c>
      <c r="C6630">
        <v>9406582649</v>
      </c>
      <c r="D6630" s="2">
        <v>1</v>
      </c>
      <c r="E6630" t="str">
        <f>"4574674200846343"</f>
        <v>4574674200846343</v>
      </c>
      <c r="F6630" t="str">
        <f>"122"</f>
        <v>122</v>
      </c>
      <c r="G6630">
        <v>1</v>
      </c>
      <c r="H6630">
        <v>2023</v>
      </c>
      <c r="I6630" t="s">
        <v>6745</v>
      </c>
    </row>
    <row r="6631" spans="1:9" x14ac:dyDescent="0.3">
      <c r="A6631" t="s">
        <v>10118</v>
      </c>
      <c r="B6631" t="s">
        <v>95</v>
      </c>
      <c r="C6631">
        <v>9406582649</v>
      </c>
      <c r="D6631" s="2">
        <v>1</v>
      </c>
      <c r="E6631" t="str">
        <f>"4574674200846699"</f>
        <v>4574674200846699</v>
      </c>
      <c r="F6631" t="str">
        <f>"723"</f>
        <v>723</v>
      </c>
      <c r="G6631">
        <v>1</v>
      </c>
      <c r="H6631">
        <v>2023</v>
      </c>
      <c r="I6631" t="s">
        <v>6746</v>
      </c>
    </row>
    <row r="6632" spans="1:9" x14ac:dyDescent="0.3">
      <c r="A6632" t="s">
        <v>10118</v>
      </c>
      <c r="B6632" t="s">
        <v>95</v>
      </c>
      <c r="C6632">
        <v>9406582649</v>
      </c>
      <c r="D6632" s="2">
        <v>1</v>
      </c>
      <c r="E6632" t="str">
        <f>"4574674200846715"</f>
        <v>4574674200846715</v>
      </c>
      <c r="F6632" t="str">
        <f>"375"</f>
        <v>375</v>
      </c>
      <c r="G6632">
        <v>1</v>
      </c>
      <c r="H6632">
        <v>2023</v>
      </c>
      <c r="I6632" t="s">
        <v>6747</v>
      </c>
    </row>
    <row r="6633" spans="1:9" x14ac:dyDescent="0.3">
      <c r="A6633" t="s">
        <v>10118</v>
      </c>
      <c r="B6633" t="s">
        <v>95</v>
      </c>
      <c r="C6633">
        <v>9406582649</v>
      </c>
      <c r="D6633" s="2">
        <v>1</v>
      </c>
      <c r="E6633" t="str">
        <f>"4574674200846376"</f>
        <v>4574674200846376</v>
      </c>
      <c r="F6633" t="str">
        <f>"286"</f>
        <v>286</v>
      </c>
      <c r="G6633">
        <v>1</v>
      </c>
      <c r="H6633">
        <v>2023</v>
      </c>
      <c r="I6633" t="s">
        <v>6748</v>
      </c>
    </row>
    <row r="6634" spans="1:9" x14ac:dyDescent="0.3">
      <c r="A6634" t="s">
        <v>10118</v>
      </c>
      <c r="B6634" t="s">
        <v>95</v>
      </c>
      <c r="C6634">
        <v>9406582649</v>
      </c>
      <c r="D6634" s="2">
        <v>1</v>
      </c>
      <c r="E6634" t="str">
        <f>"4574674200846384"</f>
        <v>4574674200846384</v>
      </c>
      <c r="F6634" t="str">
        <f>"086"</f>
        <v>086</v>
      </c>
      <c r="G6634">
        <v>1</v>
      </c>
      <c r="H6634">
        <v>2023</v>
      </c>
      <c r="I6634" t="s">
        <v>6749</v>
      </c>
    </row>
    <row r="6635" spans="1:9" x14ac:dyDescent="0.3">
      <c r="A6635" t="s">
        <v>10118</v>
      </c>
      <c r="B6635" t="s">
        <v>95</v>
      </c>
      <c r="C6635">
        <v>9406582649</v>
      </c>
      <c r="D6635" s="2">
        <v>1</v>
      </c>
      <c r="E6635" t="str">
        <f>"4574674200847002"</f>
        <v>4574674200847002</v>
      </c>
      <c r="F6635" t="str">
        <f>"360"</f>
        <v>360</v>
      </c>
      <c r="G6635">
        <v>1</v>
      </c>
      <c r="H6635">
        <v>2023</v>
      </c>
      <c r="I6635" t="s">
        <v>6750</v>
      </c>
    </row>
    <row r="6636" spans="1:9" x14ac:dyDescent="0.3">
      <c r="A6636" t="s">
        <v>10118</v>
      </c>
      <c r="B6636" t="s">
        <v>95</v>
      </c>
      <c r="C6636">
        <v>9406582649</v>
      </c>
      <c r="D6636" s="2">
        <v>1</v>
      </c>
      <c r="E6636" t="str">
        <f>"4574674200847044"</f>
        <v>4574674200847044</v>
      </c>
      <c r="F6636" t="str">
        <f>"464"</f>
        <v>464</v>
      </c>
      <c r="G6636">
        <v>1</v>
      </c>
      <c r="H6636">
        <v>2023</v>
      </c>
      <c r="I6636" t="s">
        <v>6751</v>
      </c>
    </row>
    <row r="6637" spans="1:9" x14ac:dyDescent="0.3">
      <c r="A6637" t="s">
        <v>10118</v>
      </c>
      <c r="B6637" t="s">
        <v>95</v>
      </c>
      <c r="C6637">
        <v>9406582649</v>
      </c>
      <c r="D6637" s="2">
        <v>1</v>
      </c>
      <c r="E6637" t="str">
        <f>"4574674200847051"</f>
        <v>4574674200847051</v>
      </c>
      <c r="F6637" t="str">
        <f>"934"</f>
        <v>934</v>
      </c>
      <c r="G6637">
        <v>1</v>
      </c>
      <c r="H6637">
        <v>2023</v>
      </c>
      <c r="I6637" t="s">
        <v>6752</v>
      </c>
    </row>
    <row r="6638" spans="1:9" x14ac:dyDescent="0.3">
      <c r="A6638" t="s">
        <v>10119</v>
      </c>
      <c r="B6638" t="s">
        <v>96</v>
      </c>
      <c r="C6638">
        <v>9406582649</v>
      </c>
      <c r="D6638" s="2">
        <v>1</v>
      </c>
      <c r="E6638" t="str">
        <f>"4574674200846848"</f>
        <v>4574674200846848</v>
      </c>
      <c r="F6638" t="str">
        <f>"133"</f>
        <v>133</v>
      </c>
      <c r="G6638">
        <v>1</v>
      </c>
      <c r="H6638">
        <v>2023</v>
      </c>
      <c r="I6638" t="s">
        <v>6753</v>
      </c>
    </row>
    <row r="6639" spans="1:9" x14ac:dyDescent="0.3">
      <c r="A6639" t="s">
        <v>10119</v>
      </c>
      <c r="B6639" t="s">
        <v>96</v>
      </c>
      <c r="C6639">
        <v>9406582649</v>
      </c>
      <c r="D6639" s="2">
        <v>1</v>
      </c>
      <c r="E6639" t="str">
        <f>"4574674200846889"</f>
        <v>4574674200846889</v>
      </c>
      <c r="F6639" t="str">
        <f>"144"</f>
        <v>144</v>
      </c>
      <c r="G6639">
        <v>1</v>
      </c>
      <c r="H6639">
        <v>2023</v>
      </c>
      <c r="I6639" t="s">
        <v>6754</v>
      </c>
    </row>
    <row r="6640" spans="1:9" x14ac:dyDescent="0.3">
      <c r="A6640" t="s">
        <v>10119</v>
      </c>
      <c r="B6640" t="s">
        <v>96</v>
      </c>
      <c r="C6640">
        <v>9406582649</v>
      </c>
      <c r="D6640" s="2">
        <v>1</v>
      </c>
      <c r="E6640" t="str">
        <f>"4574674200847143"</f>
        <v>4574674200847143</v>
      </c>
      <c r="F6640" t="str">
        <f>"652"</f>
        <v>652</v>
      </c>
      <c r="G6640">
        <v>1</v>
      </c>
      <c r="H6640">
        <v>2023</v>
      </c>
      <c r="I6640" t="s">
        <v>6755</v>
      </c>
    </row>
    <row r="6641" spans="1:9" x14ac:dyDescent="0.3">
      <c r="A6641" t="s">
        <v>10119</v>
      </c>
      <c r="B6641" t="s">
        <v>96</v>
      </c>
      <c r="C6641">
        <v>9406582649</v>
      </c>
      <c r="D6641" s="2">
        <v>1</v>
      </c>
      <c r="E6641" t="str">
        <f>"4574674200846897"</f>
        <v>4574674200846897</v>
      </c>
      <c r="F6641" t="str">
        <f>"917"</f>
        <v>917</v>
      </c>
      <c r="G6641">
        <v>1</v>
      </c>
      <c r="H6641">
        <v>2023</v>
      </c>
      <c r="I6641" t="s">
        <v>6756</v>
      </c>
    </row>
    <row r="6642" spans="1:9" x14ac:dyDescent="0.3">
      <c r="A6642" t="s">
        <v>10119</v>
      </c>
      <c r="B6642" t="s">
        <v>96</v>
      </c>
      <c r="C6642">
        <v>9406582649</v>
      </c>
      <c r="D6642" s="2">
        <v>1</v>
      </c>
      <c r="E6642" t="str">
        <f>"4574674200846905"</f>
        <v>4574674200846905</v>
      </c>
      <c r="F6642" t="str">
        <f>"795"</f>
        <v>795</v>
      </c>
      <c r="G6642">
        <v>1</v>
      </c>
      <c r="H6642">
        <v>2023</v>
      </c>
      <c r="I6642" t="s">
        <v>6757</v>
      </c>
    </row>
    <row r="6643" spans="1:9" x14ac:dyDescent="0.3">
      <c r="A6643" t="s">
        <v>10119</v>
      </c>
      <c r="B6643" t="s">
        <v>96</v>
      </c>
      <c r="C6643">
        <v>9406582649</v>
      </c>
      <c r="D6643" s="2">
        <v>1</v>
      </c>
      <c r="E6643" t="str">
        <f>"4574674200847242"</f>
        <v>4574674200847242</v>
      </c>
      <c r="F6643" t="str">
        <f>"974"</f>
        <v>974</v>
      </c>
      <c r="G6643">
        <v>1</v>
      </c>
      <c r="H6643">
        <v>2023</v>
      </c>
      <c r="I6643" t="s">
        <v>6758</v>
      </c>
    </row>
    <row r="6644" spans="1:9" x14ac:dyDescent="0.3">
      <c r="A6644" t="s">
        <v>10119</v>
      </c>
      <c r="B6644" t="s">
        <v>96</v>
      </c>
      <c r="C6644">
        <v>9406582649</v>
      </c>
      <c r="D6644" s="2">
        <v>1</v>
      </c>
      <c r="E6644" t="str">
        <f>"4574674200847234"</f>
        <v>4574674200847234</v>
      </c>
      <c r="F6644" t="str">
        <f>"580"</f>
        <v>580</v>
      </c>
      <c r="G6644">
        <v>1</v>
      </c>
      <c r="H6644">
        <v>2023</v>
      </c>
      <c r="I6644" t="s">
        <v>6759</v>
      </c>
    </row>
    <row r="6645" spans="1:9" x14ac:dyDescent="0.3">
      <c r="A6645" t="s">
        <v>10119</v>
      </c>
      <c r="B6645" t="s">
        <v>96</v>
      </c>
      <c r="C6645">
        <v>9406582649</v>
      </c>
      <c r="D6645" s="2">
        <v>1</v>
      </c>
      <c r="E6645" t="str">
        <f>"4574674200847291"</f>
        <v>4574674200847291</v>
      </c>
      <c r="F6645" t="str">
        <f>"528"</f>
        <v>528</v>
      </c>
      <c r="G6645">
        <v>1</v>
      </c>
      <c r="H6645">
        <v>2023</v>
      </c>
      <c r="I6645" t="s">
        <v>6760</v>
      </c>
    </row>
    <row r="6646" spans="1:9" x14ac:dyDescent="0.3">
      <c r="A6646" t="s">
        <v>10119</v>
      </c>
      <c r="B6646" t="s">
        <v>96</v>
      </c>
      <c r="C6646">
        <v>9406582649</v>
      </c>
      <c r="D6646" s="2">
        <v>1</v>
      </c>
      <c r="E6646" t="str">
        <f>"4574674200847358"</f>
        <v>4574674200847358</v>
      </c>
      <c r="F6646" t="str">
        <f>"449"</f>
        <v>449</v>
      </c>
      <c r="G6646">
        <v>1</v>
      </c>
      <c r="H6646">
        <v>2023</v>
      </c>
      <c r="I6646" t="s">
        <v>6761</v>
      </c>
    </row>
    <row r="6647" spans="1:9" x14ac:dyDescent="0.3">
      <c r="A6647" t="s">
        <v>10119</v>
      </c>
      <c r="B6647" t="s">
        <v>96</v>
      </c>
      <c r="C6647">
        <v>9406582649</v>
      </c>
      <c r="D6647" s="2">
        <v>1</v>
      </c>
      <c r="E6647" t="str">
        <f>"4574674200846962"</f>
        <v>4574674200846962</v>
      </c>
      <c r="F6647" t="str">
        <f>"926"</f>
        <v>926</v>
      </c>
      <c r="G6647">
        <v>1</v>
      </c>
      <c r="H6647">
        <v>2023</v>
      </c>
      <c r="I6647" t="s">
        <v>6762</v>
      </c>
    </row>
    <row r="6648" spans="1:9" x14ac:dyDescent="0.3">
      <c r="A6648" t="s">
        <v>10120</v>
      </c>
      <c r="B6648" t="s">
        <v>97</v>
      </c>
      <c r="C6648">
        <v>9406582649</v>
      </c>
      <c r="D6648" s="2">
        <v>1</v>
      </c>
      <c r="E6648" t="str">
        <f>"4574674200847424"</f>
        <v>4574674200847424</v>
      </c>
      <c r="F6648" t="str">
        <f>"020"</f>
        <v>020</v>
      </c>
      <c r="G6648">
        <v>1</v>
      </c>
      <c r="H6648">
        <v>2023</v>
      </c>
      <c r="I6648" t="s">
        <v>6763</v>
      </c>
    </row>
    <row r="6649" spans="1:9" x14ac:dyDescent="0.3">
      <c r="A6649" t="s">
        <v>10120</v>
      </c>
      <c r="B6649" t="s">
        <v>97</v>
      </c>
      <c r="C6649">
        <v>9406582649</v>
      </c>
      <c r="D6649" s="2">
        <v>1</v>
      </c>
      <c r="E6649" t="str">
        <f>"4574674200846996"</f>
        <v>4574674200846996</v>
      </c>
      <c r="F6649" t="str">
        <f>"233"</f>
        <v>233</v>
      </c>
      <c r="G6649">
        <v>1</v>
      </c>
      <c r="H6649">
        <v>2023</v>
      </c>
      <c r="I6649" t="s">
        <v>6764</v>
      </c>
    </row>
    <row r="6650" spans="1:9" x14ac:dyDescent="0.3">
      <c r="A6650" t="s">
        <v>10120</v>
      </c>
      <c r="B6650" t="s">
        <v>97</v>
      </c>
      <c r="C6650">
        <v>9406582649</v>
      </c>
      <c r="D6650" s="2">
        <v>1</v>
      </c>
      <c r="E6650" t="str">
        <f>"4574674200847648"</f>
        <v>4574674200847648</v>
      </c>
      <c r="F6650" t="str">
        <f>"497"</f>
        <v>497</v>
      </c>
      <c r="G6650">
        <v>1</v>
      </c>
      <c r="H6650">
        <v>2023</v>
      </c>
      <c r="I6650" t="s">
        <v>6765</v>
      </c>
    </row>
    <row r="6651" spans="1:9" x14ac:dyDescent="0.3">
      <c r="A6651" t="s">
        <v>10120</v>
      </c>
      <c r="B6651" t="s">
        <v>97</v>
      </c>
      <c r="C6651">
        <v>9406582649</v>
      </c>
      <c r="D6651" s="2">
        <v>1</v>
      </c>
      <c r="E6651" t="str">
        <f>"4574674200847614"</f>
        <v>4574674200847614</v>
      </c>
      <c r="F6651" t="str">
        <f>"445"</f>
        <v>445</v>
      </c>
      <c r="G6651">
        <v>1</v>
      </c>
      <c r="H6651">
        <v>2023</v>
      </c>
      <c r="I6651" t="s">
        <v>6766</v>
      </c>
    </row>
    <row r="6652" spans="1:9" x14ac:dyDescent="0.3">
      <c r="A6652" t="s">
        <v>10120</v>
      </c>
      <c r="B6652" t="s">
        <v>97</v>
      </c>
      <c r="C6652">
        <v>9406582649</v>
      </c>
      <c r="D6652" s="2">
        <v>1</v>
      </c>
      <c r="E6652" t="str">
        <f>"4574674200847473"</f>
        <v>4574674200847473</v>
      </c>
      <c r="F6652" t="str">
        <f>"684"</f>
        <v>684</v>
      </c>
      <c r="G6652">
        <v>1</v>
      </c>
      <c r="H6652">
        <v>2023</v>
      </c>
      <c r="I6652" t="s">
        <v>6767</v>
      </c>
    </row>
    <row r="6653" spans="1:9" x14ac:dyDescent="0.3">
      <c r="A6653" t="s">
        <v>10120</v>
      </c>
      <c r="B6653" t="s">
        <v>97</v>
      </c>
      <c r="C6653">
        <v>9406582649</v>
      </c>
      <c r="D6653" s="2">
        <v>1</v>
      </c>
      <c r="E6653" t="str">
        <f>"4574674200847531"</f>
        <v>4574674200847531</v>
      </c>
      <c r="F6653" t="str">
        <f>"901"</f>
        <v>901</v>
      </c>
      <c r="G6653">
        <v>1</v>
      </c>
      <c r="H6653">
        <v>2023</v>
      </c>
      <c r="I6653" t="s">
        <v>6768</v>
      </c>
    </row>
    <row r="6654" spans="1:9" x14ac:dyDescent="0.3">
      <c r="A6654" t="s">
        <v>10120</v>
      </c>
      <c r="B6654" t="s">
        <v>97</v>
      </c>
      <c r="C6654">
        <v>9406582649</v>
      </c>
      <c r="D6654" s="2">
        <v>1</v>
      </c>
      <c r="E6654" t="str">
        <f>"4574674200847572"</f>
        <v>4574674200847572</v>
      </c>
      <c r="F6654" t="str">
        <f>"532"</f>
        <v>532</v>
      </c>
      <c r="G6654">
        <v>1</v>
      </c>
      <c r="H6654">
        <v>2023</v>
      </c>
      <c r="I6654" t="s">
        <v>6769</v>
      </c>
    </row>
    <row r="6655" spans="1:9" x14ac:dyDescent="0.3">
      <c r="A6655" t="s">
        <v>10120</v>
      </c>
      <c r="B6655" t="s">
        <v>97</v>
      </c>
      <c r="C6655">
        <v>9406582649</v>
      </c>
      <c r="D6655" s="2">
        <v>1</v>
      </c>
      <c r="E6655" t="str">
        <f>"4574674200847879"</f>
        <v>4574674200847879</v>
      </c>
      <c r="F6655" t="str">
        <f>"081"</f>
        <v>081</v>
      </c>
      <c r="G6655">
        <v>1</v>
      </c>
      <c r="H6655">
        <v>2023</v>
      </c>
      <c r="I6655" t="s">
        <v>6770</v>
      </c>
    </row>
    <row r="6656" spans="1:9" x14ac:dyDescent="0.3">
      <c r="A6656" t="s">
        <v>10120</v>
      </c>
      <c r="B6656" t="s">
        <v>97</v>
      </c>
      <c r="C6656">
        <v>9406582649</v>
      </c>
      <c r="D6656" s="2">
        <v>1</v>
      </c>
      <c r="E6656" t="str">
        <f>"4574674200847895"</f>
        <v>4574674200847895</v>
      </c>
      <c r="F6656" t="str">
        <f>"885"</f>
        <v>885</v>
      </c>
      <c r="G6656">
        <v>1</v>
      </c>
      <c r="H6656">
        <v>2023</v>
      </c>
      <c r="I6656" t="s">
        <v>6771</v>
      </c>
    </row>
    <row r="6657" spans="1:9" x14ac:dyDescent="0.3">
      <c r="A6657" t="s">
        <v>10120</v>
      </c>
      <c r="B6657" t="s">
        <v>97</v>
      </c>
      <c r="C6657">
        <v>9406582649</v>
      </c>
      <c r="D6657" s="2">
        <v>1</v>
      </c>
      <c r="E6657" t="str">
        <f>"4574674200847705"</f>
        <v>4574674200847705</v>
      </c>
      <c r="F6657" t="str">
        <f>"258"</f>
        <v>258</v>
      </c>
      <c r="G6657">
        <v>1</v>
      </c>
      <c r="H6657">
        <v>2023</v>
      </c>
      <c r="I6657" t="s">
        <v>6772</v>
      </c>
    </row>
    <row r="6658" spans="1:9" x14ac:dyDescent="0.3">
      <c r="A6658" t="s">
        <v>10121</v>
      </c>
      <c r="B6658" t="s">
        <v>98</v>
      </c>
      <c r="C6658">
        <v>9406582649</v>
      </c>
      <c r="D6658" s="2">
        <v>1</v>
      </c>
      <c r="E6658" t="str">
        <f>"4574674200847721"</f>
        <v>4574674200847721</v>
      </c>
      <c r="F6658" t="str">
        <f>"675"</f>
        <v>675</v>
      </c>
      <c r="G6658">
        <v>1</v>
      </c>
      <c r="H6658">
        <v>2023</v>
      </c>
      <c r="I6658" t="s">
        <v>6773</v>
      </c>
    </row>
    <row r="6659" spans="1:9" x14ac:dyDescent="0.3">
      <c r="A6659" t="s">
        <v>10121</v>
      </c>
      <c r="B6659" t="s">
        <v>98</v>
      </c>
      <c r="C6659">
        <v>9406582649</v>
      </c>
      <c r="D6659" s="2">
        <v>1</v>
      </c>
      <c r="E6659" t="str">
        <f>"4574674200847713"</f>
        <v>4574674200847713</v>
      </c>
      <c r="F6659" t="str">
        <f>"391"</f>
        <v>391</v>
      </c>
      <c r="G6659">
        <v>1</v>
      </c>
      <c r="H6659">
        <v>2023</v>
      </c>
      <c r="I6659" t="s">
        <v>6774</v>
      </c>
    </row>
    <row r="6660" spans="1:9" x14ac:dyDescent="0.3">
      <c r="A6660" t="s">
        <v>10121</v>
      </c>
      <c r="B6660" t="s">
        <v>98</v>
      </c>
      <c r="C6660">
        <v>9406582649</v>
      </c>
      <c r="D6660" s="2">
        <v>1</v>
      </c>
      <c r="E6660" t="str">
        <f>"4574674200847762"</f>
        <v>4574674200847762</v>
      </c>
      <c r="F6660" t="str">
        <f>"029"</f>
        <v>029</v>
      </c>
      <c r="G6660">
        <v>1</v>
      </c>
      <c r="H6660">
        <v>2023</v>
      </c>
      <c r="I6660" t="s">
        <v>6775</v>
      </c>
    </row>
    <row r="6661" spans="1:9" x14ac:dyDescent="0.3">
      <c r="A6661" t="s">
        <v>10121</v>
      </c>
      <c r="B6661" t="s">
        <v>98</v>
      </c>
      <c r="C6661">
        <v>9406582649</v>
      </c>
      <c r="D6661" s="2">
        <v>1</v>
      </c>
      <c r="E6661" t="str">
        <f>"4574674200847929"</f>
        <v>4574674200847929</v>
      </c>
      <c r="F6661" t="str">
        <f>"926"</f>
        <v>926</v>
      </c>
      <c r="G6661">
        <v>1</v>
      </c>
      <c r="H6661">
        <v>2023</v>
      </c>
      <c r="I6661" t="s">
        <v>6776</v>
      </c>
    </row>
    <row r="6662" spans="1:9" x14ac:dyDescent="0.3">
      <c r="A6662" t="s">
        <v>10121</v>
      </c>
      <c r="B6662" t="s">
        <v>98</v>
      </c>
      <c r="C6662">
        <v>9406582649</v>
      </c>
      <c r="D6662" s="2">
        <v>1</v>
      </c>
      <c r="E6662" t="str">
        <f>"4574674200848018"</f>
        <v>4574674200848018</v>
      </c>
      <c r="F6662" t="str">
        <f>"562"</f>
        <v>562</v>
      </c>
      <c r="G6662">
        <v>1</v>
      </c>
      <c r="H6662">
        <v>2023</v>
      </c>
      <c r="I6662" t="s">
        <v>6777</v>
      </c>
    </row>
    <row r="6663" spans="1:9" x14ac:dyDescent="0.3">
      <c r="A6663" t="s">
        <v>10121</v>
      </c>
      <c r="B6663" t="s">
        <v>98</v>
      </c>
      <c r="C6663">
        <v>9406582649</v>
      </c>
      <c r="D6663" s="2">
        <v>1</v>
      </c>
      <c r="E6663" t="str">
        <f>"4574674200848042"</f>
        <v>4574674200848042</v>
      </c>
      <c r="F6663" t="str">
        <f>"141"</f>
        <v>141</v>
      </c>
      <c r="G6663">
        <v>1</v>
      </c>
      <c r="H6663">
        <v>2023</v>
      </c>
      <c r="I6663" t="s">
        <v>6778</v>
      </c>
    </row>
    <row r="6664" spans="1:9" x14ac:dyDescent="0.3">
      <c r="A6664" t="s">
        <v>10121</v>
      </c>
      <c r="B6664" t="s">
        <v>98</v>
      </c>
      <c r="C6664">
        <v>9406582649</v>
      </c>
      <c r="D6664" s="2">
        <v>1</v>
      </c>
      <c r="E6664" t="str">
        <f>"4574674200848109"</f>
        <v>4574674200848109</v>
      </c>
      <c r="F6664" t="str">
        <f>"541"</f>
        <v>541</v>
      </c>
      <c r="G6664">
        <v>1</v>
      </c>
      <c r="H6664">
        <v>2023</v>
      </c>
      <c r="I6664" t="s">
        <v>6779</v>
      </c>
    </row>
    <row r="6665" spans="1:9" x14ac:dyDescent="0.3">
      <c r="A6665" t="s">
        <v>10121</v>
      </c>
      <c r="B6665" t="s">
        <v>98</v>
      </c>
      <c r="C6665">
        <v>9406582649</v>
      </c>
      <c r="D6665" s="2">
        <v>1</v>
      </c>
      <c r="E6665" t="str">
        <f>"4574674200848224"</f>
        <v>4574674200848224</v>
      </c>
      <c r="F6665" t="str">
        <f>"712"</f>
        <v>712</v>
      </c>
      <c r="G6665">
        <v>1</v>
      </c>
      <c r="H6665">
        <v>2023</v>
      </c>
      <c r="I6665" t="s">
        <v>6780</v>
      </c>
    </row>
    <row r="6666" spans="1:9" x14ac:dyDescent="0.3">
      <c r="A6666" t="s">
        <v>10121</v>
      </c>
      <c r="B6666" t="s">
        <v>98</v>
      </c>
      <c r="C6666">
        <v>9406582649</v>
      </c>
      <c r="D6666" s="2">
        <v>1</v>
      </c>
      <c r="E6666" t="str">
        <f>"4574674200848232"</f>
        <v>4574674200848232</v>
      </c>
      <c r="F6666" t="str">
        <f>"062"</f>
        <v>062</v>
      </c>
      <c r="G6666">
        <v>1</v>
      </c>
      <c r="H6666">
        <v>2023</v>
      </c>
      <c r="I6666" t="s">
        <v>6781</v>
      </c>
    </row>
    <row r="6667" spans="1:9" x14ac:dyDescent="0.3">
      <c r="A6667" t="s">
        <v>10121</v>
      </c>
      <c r="B6667" t="s">
        <v>98</v>
      </c>
      <c r="C6667">
        <v>9406582649</v>
      </c>
      <c r="D6667" s="2">
        <v>1</v>
      </c>
      <c r="E6667" t="str">
        <f>"4574674200848141"</f>
        <v>4574674200848141</v>
      </c>
      <c r="F6667" t="str">
        <f>"680"</f>
        <v>680</v>
      </c>
      <c r="G6667">
        <v>1</v>
      </c>
      <c r="H6667">
        <v>2023</v>
      </c>
      <c r="I6667" t="s">
        <v>6782</v>
      </c>
    </row>
    <row r="6668" spans="1:9" x14ac:dyDescent="0.3">
      <c r="A6668" t="s">
        <v>10122</v>
      </c>
      <c r="B6668" t="s">
        <v>99</v>
      </c>
      <c r="C6668">
        <v>9406582649</v>
      </c>
      <c r="D6668" s="2">
        <v>1</v>
      </c>
      <c r="E6668" t="str">
        <f>"4574674200848174"</f>
        <v>4574674200848174</v>
      </c>
      <c r="F6668" t="str">
        <f>"685"</f>
        <v>685</v>
      </c>
      <c r="G6668">
        <v>1</v>
      </c>
      <c r="H6668">
        <v>2023</v>
      </c>
      <c r="I6668" t="s">
        <v>6783</v>
      </c>
    </row>
    <row r="6669" spans="1:9" x14ac:dyDescent="0.3">
      <c r="A6669" t="s">
        <v>10122</v>
      </c>
      <c r="B6669" t="s">
        <v>99</v>
      </c>
      <c r="C6669">
        <v>9406582649</v>
      </c>
      <c r="D6669" s="2">
        <v>1</v>
      </c>
      <c r="E6669" t="str">
        <f>"4574674200848463"</f>
        <v>4574674200848463</v>
      </c>
      <c r="F6669" t="str">
        <f>"184"</f>
        <v>184</v>
      </c>
      <c r="G6669">
        <v>1</v>
      </c>
      <c r="H6669">
        <v>2023</v>
      </c>
      <c r="I6669" t="s">
        <v>6784</v>
      </c>
    </row>
    <row r="6670" spans="1:9" x14ac:dyDescent="0.3">
      <c r="A6670" t="s">
        <v>10122</v>
      </c>
      <c r="B6670" t="s">
        <v>99</v>
      </c>
      <c r="C6670">
        <v>9406582649</v>
      </c>
      <c r="D6670" s="2">
        <v>1</v>
      </c>
      <c r="E6670" t="str">
        <f>"4574674200848992"</f>
        <v>4574674200848992</v>
      </c>
      <c r="F6670" t="str">
        <f>"385"</f>
        <v>385</v>
      </c>
      <c r="G6670">
        <v>1</v>
      </c>
      <c r="H6670">
        <v>2023</v>
      </c>
      <c r="I6670" t="s">
        <v>6785</v>
      </c>
    </row>
    <row r="6671" spans="1:9" x14ac:dyDescent="0.3">
      <c r="A6671" t="s">
        <v>10122</v>
      </c>
      <c r="B6671" t="s">
        <v>99</v>
      </c>
      <c r="C6671">
        <v>9406582649</v>
      </c>
      <c r="D6671" s="2">
        <v>1</v>
      </c>
      <c r="E6671" t="str">
        <f>"4574674200849404"</f>
        <v>4574674200849404</v>
      </c>
      <c r="F6671" t="str">
        <f>"676"</f>
        <v>676</v>
      </c>
      <c r="G6671">
        <v>1</v>
      </c>
      <c r="H6671">
        <v>2023</v>
      </c>
      <c r="I6671" t="s">
        <v>6786</v>
      </c>
    </row>
    <row r="6672" spans="1:9" x14ac:dyDescent="0.3">
      <c r="A6672" t="s">
        <v>10122</v>
      </c>
      <c r="B6672" t="s">
        <v>99</v>
      </c>
      <c r="C6672">
        <v>9406582649</v>
      </c>
      <c r="D6672" s="2">
        <v>1</v>
      </c>
      <c r="E6672" t="str">
        <f>"4574674200849412"</f>
        <v>4574674200849412</v>
      </c>
      <c r="F6672" t="str">
        <f>"548"</f>
        <v>548</v>
      </c>
      <c r="G6672">
        <v>1</v>
      </c>
      <c r="H6672">
        <v>2023</v>
      </c>
      <c r="I6672" t="s">
        <v>6787</v>
      </c>
    </row>
    <row r="6673" spans="1:9" x14ac:dyDescent="0.3">
      <c r="A6673" t="s">
        <v>10122</v>
      </c>
      <c r="B6673" t="s">
        <v>99</v>
      </c>
      <c r="C6673">
        <v>9406582649</v>
      </c>
      <c r="D6673" s="2">
        <v>1</v>
      </c>
      <c r="E6673" t="str">
        <f>"4574674200849339"</f>
        <v>4574674200849339</v>
      </c>
      <c r="F6673" t="str">
        <f>"225"</f>
        <v>225</v>
      </c>
      <c r="G6673">
        <v>1</v>
      </c>
      <c r="H6673">
        <v>2023</v>
      </c>
      <c r="I6673" t="s">
        <v>6788</v>
      </c>
    </row>
    <row r="6674" spans="1:9" x14ac:dyDescent="0.3">
      <c r="A6674" t="s">
        <v>10122</v>
      </c>
      <c r="B6674" t="s">
        <v>99</v>
      </c>
      <c r="C6674">
        <v>9406582649</v>
      </c>
      <c r="D6674" s="2">
        <v>1</v>
      </c>
      <c r="E6674" t="str">
        <f>"4574674200849354"</f>
        <v>4574674200849354</v>
      </c>
      <c r="F6674" t="str">
        <f>"580"</f>
        <v>580</v>
      </c>
      <c r="G6674">
        <v>1</v>
      </c>
      <c r="H6674">
        <v>2023</v>
      </c>
      <c r="I6674" t="s">
        <v>6789</v>
      </c>
    </row>
    <row r="6675" spans="1:9" x14ac:dyDescent="0.3">
      <c r="A6675" t="s">
        <v>10122</v>
      </c>
      <c r="B6675" t="s">
        <v>99</v>
      </c>
      <c r="C6675">
        <v>9406582649</v>
      </c>
      <c r="D6675" s="2">
        <v>1</v>
      </c>
      <c r="E6675" t="str">
        <f>"4574674200849602"</f>
        <v>4574674200849602</v>
      </c>
      <c r="F6675" t="str">
        <f>"518"</f>
        <v>518</v>
      </c>
      <c r="G6675">
        <v>1</v>
      </c>
      <c r="H6675">
        <v>2023</v>
      </c>
      <c r="I6675" t="s">
        <v>6790</v>
      </c>
    </row>
    <row r="6676" spans="1:9" x14ac:dyDescent="0.3">
      <c r="A6676" t="s">
        <v>10122</v>
      </c>
      <c r="B6676" t="s">
        <v>99</v>
      </c>
      <c r="C6676">
        <v>9406582649</v>
      </c>
      <c r="D6676" s="2">
        <v>1</v>
      </c>
      <c r="E6676" t="str">
        <f>"4574674200849495"</f>
        <v>4574674200849495</v>
      </c>
      <c r="F6676" t="str">
        <f>"510"</f>
        <v>510</v>
      </c>
      <c r="G6676">
        <v>1</v>
      </c>
      <c r="H6676">
        <v>2023</v>
      </c>
      <c r="I6676" t="s">
        <v>6791</v>
      </c>
    </row>
    <row r="6677" spans="1:9" x14ac:dyDescent="0.3">
      <c r="A6677" t="s">
        <v>10122</v>
      </c>
      <c r="B6677" t="s">
        <v>99</v>
      </c>
      <c r="C6677">
        <v>9406582649</v>
      </c>
      <c r="D6677" s="2">
        <v>1</v>
      </c>
      <c r="E6677" t="str">
        <f>"4574674200849529"</f>
        <v>4574674200849529</v>
      </c>
      <c r="F6677" t="str">
        <f>"803"</f>
        <v>803</v>
      </c>
      <c r="G6677">
        <v>1</v>
      </c>
      <c r="H6677">
        <v>2023</v>
      </c>
      <c r="I6677" t="s">
        <v>6792</v>
      </c>
    </row>
    <row r="6678" spans="1:9" x14ac:dyDescent="0.3">
      <c r="A6678" t="s">
        <v>10123</v>
      </c>
      <c r="B6678" t="s">
        <v>100</v>
      </c>
      <c r="C6678">
        <v>9406582649</v>
      </c>
      <c r="D6678" s="2">
        <v>1</v>
      </c>
      <c r="E6678" t="str">
        <f>"4574674200849511"</f>
        <v>4574674200849511</v>
      </c>
      <c r="F6678" t="str">
        <f>"659"</f>
        <v>659</v>
      </c>
      <c r="G6678">
        <v>1</v>
      </c>
      <c r="H6678">
        <v>2023</v>
      </c>
      <c r="I6678" t="s">
        <v>6793</v>
      </c>
    </row>
    <row r="6679" spans="1:9" x14ac:dyDescent="0.3">
      <c r="A6679" t="s">
        <v>10123</v>
      </c>
      <c r="B6679" t="s">
        <v>100</v>
      </c>
      <c r="C6679">
        <v>9406582649</v>
      </c>
      <c r="D6679" s="2">
        <v>1</v>
      </c>
      <c r="E6679" t="str">
        <f>"4574674200849651"</f>
        <v>4574674200849651</v>
      </c>
      <c r="F6679" t="str">
        <f>"180"</f>
        <v>180</v>
      </c>
      <c r="G6679">
        <v>1</v>
      </c>
      <c r="H6679">
        <v>2023</v>
      </c>
      <c r="I6679" t="s">
        <v>6794</v>
      </c>
    </row>
    <row r="6680" spans="1:9" x14ac:dyDescent="0.3">
      <c r="A6680" t="s">
        <v>10123</v>
      </c>
      <c r="B6680" t="s">
        <v>100</v>
      </c>
      <c r="C6680">
        <v>9406582649</v>
      </c>
      <c r="D6680" s="2">
        <v>1</v>
      </c>
      <c r="E6680" t="str">
        <f>"4574674200849735"</f>
        <v>4574674200849735</v>
      </c>
      <c r="F6680" t="str">
        <f>"554"</f>
        <v>554</v>
      </c>
      <c r="G6680">
        <v>1</v>
      </c>
      <c r="H6680">
        <v>2023</v>
      </c>
      <c r="I6680" t="s">
        <v>6795</v>
      </c>
    </row>
    <row r="6681" spans="1:9" x14ac:dyDescent="0.3">
      <c r="A6681" t="s">
        <v>10123</v>
      </c>
      <c r="B6681" t="s">
        <v>100</v>
      </c>
      <c r="C6681">
        <v>9406582649</v>
      </c>
      <c r="D6681" s="2">
        <v>1</v>
      </c>
      <c r="E6681" t="str">
        <f>"4574674200849727"</f>
        <v>4574674200849727</v>
      </c>
      <c r="F6681" t="str">
        <f>"323"</f>
        <v>323</v>
      </c>
      <c r="G6681">
        <v>1</v>
      </c>
      <c r="H6681">
        <v>2023</v>
      </c>
      <c r="I6681" t="s">
        <v>6796</v>
      </c>
    </row>
    <row r="6682" spans="1:9" x14ac:dyDescent="0.3">
      <c r="A6682" t="s">
        <v>10123</v>
      </c>
      <c r="B6682" t="s">
        <v>100</v>
      </c>
      <c r="C6682">
        <v>9406582649</v>
      </c>
      <c r="D6682" s="2">
        <v>1</v>
      </c>
      <c r="E6682" t="str">
        <f>"4574674200849560"</f>
        <v>4574674200849560</v>
      </c>
      <c r="F6682" t="str">
        <f>"884"</f>
        <v>884</v>
      </c>
      <c r="G6682">
        <v>1</v>
      </c>
      <c r="H6682">
        <v>2023</v>
      </c>
      <c r="I6682" t="s">
        <v>6797</v>
      </c>
    </row>
    <row r="6683" spans="1:9" x14ac:dyDescent="0.3">
      <c r="A6683" t="s">
        <v>10123</v>
      </c>
      <c r="B6683" t="s">
        <v>100</v>
      </c>
      <c r="C6683">
        <v>9406582649</v>
      </c>
      <c r="D6683" s="2">
        <v>1</v>
      </c>
      <c r="E6683" t="str">
        <f>"4574674200850022"</f>
        <v>4574674200850022</v>
      </c>
      <c r="F6683" t="str">
        <f>"023"</f>
        <v>023</v>
      </c>
      <c r="G6683">
        <v>1</v>
      </c>
      <c r="H6683">
        <v>2023</v>
      </c>
      <c r="I6683" t="s">
        <v>6798</v>
      </c>
    </row>
    <row r="6684" spans="1:9" x14ac:dyDescent="0.3">
      <c r="A6684" t="s">
        <v>10123</v>
      </c>
      <c r="B6684" t="s">
        <v>100</v>
      </c>
      <c r="C6684">
        <v>9406582649</v>
      </c>
      <c r="D6684" s="2">
        <v>1</v>
      </c>
      <c r="E6684" t="str">
        <f>"4574674200850097"</f>
        <v>4574674200850097</v>
      </c>
      <c r="F6684" t="str">
        <f>"839"</f>
        <v>839</v>
      </c>
      <c r="G6684">
        <v>1</v>
      </c>
      <c r="H6684">
        <v>2023</v>
      </c>
      <c r="I6684" t="s">
        <v>6799</v>
      </c>
    </row>
    <row r="6685" spans="1:9" x14ac:dyDescent="0.3">
      <c r="A6685" t="s">
        <v>10123</v>
      </c>
      <c r="B6685" t="s">
        <v>100</v>
      </c>
      <c r="C6685">
        <v>9406582649</v>
      </c>
      <c r="D6685" s="2">
        <v>1</v>
      </c>
      <c r="E6685" t="str">
        <f>"4574674200849826"</f>
        <v>4574674200849826</v>
      </c>
      <c r="F6685" t="str">
        <f>"798"</f>
        <v>798</v>
      </c>
      <c r="G6685">
        <v>1</v>
      </c>
      <c r="H6685">
        <v>2023</v>
      </c>
      <c r="I6685" t="s">
        <v>6800</v>
      </c>
    </row>
    <row r="6686" spans="1:9" x14ac:dyDescent="0.3">
      <c r="A6686" t="s">
        <v>10123</v>
      </c>
      <c r="B6686" t="s">
        <v>100</v>
      </c>
      <c r="C6686">
        <v>9406582649</v>
      </c>
      <c r="D6686" s="2">
        <v>1</v>
      </c>
      <c r="E6686" t="str">
        <f>"4574674200849842"</f>
        <v>4574674200849842</v>
      </c>
      <c r="F6686" t="str">
        <f>"587"</f>
        <v>587</v>
      </c>
      <c r="G6686">
        <v>1</v>
      </c>
      <c r="H6686">
        <v>2023</v>
      </c>
      <c r="I6686" t="s">
        <v>6801</v>
      </c>
    </row>
    <row r="6687" spans="1:9" x14ac:dyDescent="0.3">
      <c r="A6687" t="s">
        <v>10123</v>
      </c>
      <c r="B6687" t="s">
        <v>100</v>
      </c>
      <c r="C6687">
        <v>9406582649</v>
      </c>
      <c r="D6687" s="2">
        <v>1</v>
      </c>
      <c r="E6687" t="str">
        <f>"4574674200850188"</f>
        <v>4574674200850188</v>
      </c>
      <c r="F6687" t="str">
        <f>"206"</f>
        <v>206</v>
      </c>
      <c r="G6687">
        <v>1</v>
      </c>
      <c r="H6687">
        <v>2023</v>
      </c>
      <c r="I6687" t="s">
        <v>6802</v>
      </c>
    </row>
    <row r="6688" spans="1:9" x14ac:dyDescent="0.3">
      <c r="A6688" t="s">
        <v>10124</v>
      </c>
      <c r="B6688" t="s">
        <v>101</v>
      </c>
      <c r="C6688">
        <v>9406582649</v>
      </c>
      <c r="D6688" s="2">
        <v>1</v>
      </c>
      <c r="E6688" t="str">
        <f>"4574674200850238"</f>
        <v>4574674200850238</v>
      </c>
      <c r="F6688" t="str">
        <f>"652"</f>
        <v>652</v>
      </c>
      <c r="G6688">
        <v>1</v>
      </c>
      <c r="H6688">
        <v>2023</v>
      </c>
      <c r="I6688" t="s">
        <v>6803</v>
      </c>
    </row>
    <row r="6689" spans="1:9" x14ac:dyDescent="0.3">
      <c r="A6689" t="s">
        <v>10124</v>
      </c>
      <c r="B6689" t="s">
        <v>101</v>
      </c>
      <c r="C6689">
        <v>9406582649</v>
      </c>
      <c r="D6689" s="2">
        <v>1</v>
      </c>
      <c r="E6689" t="str">
        <f>"4574674200850253"</f>
        <v>4574674200850253</v>
      </c>
      <c r="F6689" t="str">
        <f>"718"</f>
        <v>718</v>
      </c>
      <c r="G6689">
        <v>1</v>
      </c>
      <c r="H6689">
        <v>2023</v>
      </c>
      <c r="I6689" t="s">
        <v>6804</v>
      </c>
    </row>
    <row r="6690" spans="1:9" x14ac:dyDescent="0.3">
      <c r="A6690" t="s">
        <v>10124</v>
      </c>
      <c r="B6690" t="s">
        <v>101</v>
      </c>
      <c r="C6690">
        <v>9406582649</v>
      </c>
      <c r="D6690" s="2">
        <v>1</v>
      </c>
      <c r="E6690" t="str">
        <f>"4574674200849925"</f>
        <v>4574674200849925</v>
      </c>
      <c r="F6690" t="str">
        <f>"300"</f>
        <v>300</v>
      </c>
      <c r="G6690">
        <v>1</v>
      </c>
      <c r="H6690">
        <v>2023</v>
      </c>
      <c r="I6690" t="s">
        <v>6805</v>
      </c>
    </row>
    <row r="6691" spans="1:9" x14ac:dyDescent="0.3">
      <c r="A6691" t="s">
        <v>10124</v>
      </c>
      <c r="B6691" t="s">
        <v>101</v>
      </c>
      <c r="C6691">
        <v>9406582649</v>
      </c>
      <c r="D6691" s="2">
        <v>1</v>
      </c>
      <c r="E6691" t="str">
        <f>"4574674200849941"</f>
        <v>4574674200849941</v>
      </c>
      <c r="F6691" t="str">
        <f>"458"</f>
        <v>458</v>
      </c>
      <c r="G6691">
        <v>1</v>
      </c>
      <c r="H6691">
        <v>2023</v>
      </c>
      <c r="I6691" t="s">
        <v>6806</v>
      </c>
    </row>
    <row r="6692" spans="1:9" x14ac:dyDescent="0.3">
      <c r="A6692" t="s">
        <v>10124</v>
      </c>
      <c r="B6692" t="s">
        <v>101</v>
      </c>
      <c r="C6692">
        <v>9406582649</v>
      </c>
      <c r="D6692" s="2">
        <v>1</v>
      </c>
      <c r="E6692" t="str">
        <f>"4574674200849958"</f>
        <v>4574674200849958</v>
      </c>
      <c r="F6692" t="str">
        <f>"953"</f>
        <v>953</v>
      </c>
      <c r="G6692">
        <v>1</v>
      </c>
      <c r="H6692">
        <v>2023</v>
      </c>
      <c r="I6692" t="s">
        <v>6807</v>
      </c>
    </row>
    <row r="6693" spans="1:9" x14ac:dyDescent="0.3">
      <c r="A6693" t="s">
        <v>10124</v>
      </c>
      <c r="B6693" t="s">
        <v>101</v>
      </c>
      <c r="C6693">
        <v>9406582649</v>
      </c>
      <c r="D6693" s="2">
        <v>1</v>
      </c>
      <c r="E6693" t="str">
        <f>"4574674200849966"</f>
        <v>4574674200849966</v>
      </c>
      <c r="F6693" t="str">
        <f>"859"</f>
        <v>859</v>
      </c>
      <c r="G6693">
        <v>1</v>
      </c>
      <c r="H6693">
        <v>2023</v>
      </c>
      <c r="I6693" t="s">
        <v>6808</v>
      </c>
    </row>
    <row r="6694" spans="1:9" x14ac:dyDescent="0.3">
      <c r="A6694" t="s">
        <v>10124</v>
      </c>
      <c r="B6694" t="s">
        <v>101</v>
      </c>
      <c r="C6694">
        <v>9406582649</v>
      </c>
      <c r="D6694" s="2">
        <v>1</v>
      </c>
      <c r="E6694" t="str">
        <f>"4574674200850329"</f>
        <v>4574674200850329</v>
      </c>
      <c r="F6694" t="str">
        <f>"764"</f>
        <v>764</v>
      </c>
      <c r="G6694">
        <v>1</v>
      </c>
      <c r="H6694">
        <v>2023</v>
      </c>
      <c r="I6694" t="s">
        <v>6809</v>
      </c>
    </row>
    <row r="6695" spans="1:9" x14ac:dyDescent="0.3">
      <c r="A6695" t="s">
        <v>10124</v>
      </c>
      <c r="B6695" t="s">
        <v>101</v>
      </c>
      <c r="C6695">
        <v>9406582649</v>
      </c>
      <c r="D6695" s="2">
        <v>1</v>
      </c>
      <c r="E6695" t="str">
        <f>"4574674200850360"</f>
        <v>4574674200850360</v>
      </c>
      <c r="F6695" t="str">
        <f>"655"</f>
        <v>655</v>
      </c>
      <c r="G6695">
        <v>1</v>
      </c>
      <c r="H6695">
        <v>2023</v>
      </c>
      <c r="I6695" t="s">
        <v>6810</v>
      </c>
    </row>
    <row r="6696" spans="1:9" x14ac:dyDescent="0.3">
      <c r="A6696" t="s">
        <v>10124</v>
      </c>
      <c r="B6696" t="s">
        <v>101</v>
      </c>
      <c r="C6696">
        <v>9406582649</v>
      </c>
      <c r="D6696" s="2">
        <v>1</v>
      </c>
      <c r="E6696" t="str">
        <f>"4574674200850410"</f>
        <v>4574674200850410</v>
      </c>
      <c r="F6696" t="str">
        <f>"976"</f>
        <v>976</v>
      </c>
      <c r="G6696">
        <v>1</v>
      </c>
      <c r="H6696">
        <v>2023</v>
      </c>
      <c r="I6696" t="s">
        <v>6811</v>
      </c>
    </row>
    <row r="6697" spans="1:9" x14ac:dyDescent="0.3">
      <c r="A6697" t="s">
        <v>10124</v>
      </c>
      <c r="B6697" t="s">
        <v>101</v>
      </c>
      <c r="C6697">
        <v>9406582649</v>
      </c>
      <c r="D6697" s="2">
        <v>1</v>
      </c>
      <c r="E6697" t="str">
        <f>"4574674200850634"</f>
        <v>4574674200850634</v>
      </c>
      <c r="F6697" t="str">
        <f>"227"</f>
        <v>227</v>
      </c>
      <c r="G6697">
        <v>1</v>
      </c>
      <c r="H6697">
        <v>2023</v>
      </c>
      <c r="I6697" t="s">
        <v>6812</v>
      </c>
    </row>
    <row r="6698" spans="1:9" x14ac:dyDescent="0.3">
      <c r="A6698" t="s">
        <v>10125</v>
      </c>
      <c r="B6698" t="s">
        <v>102</v>
      </c>
      <c r="C6698">
        <v>9406582649</v>
      </c>
      <c r="D6698" s="2">
        <v>1</v>
      </c>
      <c r="E6698" t="str">
        <f>"4574674200850659"</f>
        <v>4574674200850659</v>
      </c>
      <c r="F6698" t="str">
        <f>"686"</f>
        <v>686</v>
      </c>
      <c r="G6698">
        <v>1</v>
      </c>
      <c r="H6698">
        <v>2023</v>
      </c>
      <c r="I6698" t="s">
        <v>6813</v>
      </c>
    </row>
    <row r="6699" spans="1:9" x14ac:dyDescent="0.3">
      <c r="A6699" t="s">
        <v>10125</v>
      </c>
      <c r="B6699" t="s">
        <v>102</v>
      </c>
      <c r="C6699">
        <v>9406582649</v>
      </c>
      <c r="D6699" s="2">
        <v>1</v>
      </c>
      <c r="E6699" t="str">
        <f>"4574674200850675"</f>
        <v>4574674200850675</v>
      </c>
      <c r="F6699" t="str">
        <f>"516"</f>
        <v>516</v>
      </c>
      <c r="G6699">
        <v>1</v>
      </c>
      <c r="H6699">
        <v>2023</v>
      </c>
      <c r="I6699" t="s">
        <v>6814</v>
      </c>
    </row>
    <row r="6700" spans="1:9" x14ac:dyDescent="0.3">
      <c r="A6700" t="s">
        <v>10125</v>
      </c>
      <c r="B6700" t="s">
        <v>102</v>
      </c>
      <c r="C6700">
        <v>9406582649</v>
      </c>
      <c r="D6700" s="2">
        <v>1</v>
      </c>
      <c r="E6700" t="str">
        <f>"4574674200850683"</f>
        <v>4574674200850683</v>
      </c>
      <c r="F6700" t="str">
        <f>"108"</f>
        <v>108</v>
      </c>
      <c r="G6700">
        <v>1</v>
      </c>
      <c r="H6700">
        <v>2023</v>
      </c>
      <c r="I6700" t="s">
        <v>6815</v>
      </c>
    </row>
    <row r="6701" spans="1:9" x14ac:dyDescent="0.3">
      <c r="A6701" t="s">
        <v>10125</v>
      </c>
      <c r="B6701" t="s">
        <v>102</v>
      </c>
      <c r="C6701">
        <v>9406582649</v>
      </c>
      <c r="D6701" s="2">
        <v>1</v>
      </c>
      <c r="E6701" t="str">
        <f>"4574674200850527"</f>
        <v>4574674200850527</v>
      </c>
      <c r="F6701" t="str">
        <f>"644"</f>
        <v>644</v>
      </c>
      <c r="G6701">
        <v>1</v>
      </c>
      <c r="H6701">
        <v>2023</v>
      </c>
      <c r="I6701" t="s">
        <v>6816</v>
      </c>
    </row>
    <row r="6702" spans="1:9" x14ac:dyDescent="0.3">
      <c r="A6702" t="s">
        <v>10125</v>
      </c>
      <c r="B6702" t="s">
        <v>102</v>
      </c>
      <c r="C6702">
        <v>9406582649</v>
      </c>
      <c r="D6702" s="2">
        <v>1</v>
      </c>
      <c r="E6702" t="str">
        <f>"4574674200850535"</f>
        <v>4574674200850535</v>
      </c>
      <c r="F6702" t="str">
        <f>"625"</f>
        <v>625</v>
      </c>
      <c r="G6702">
        <v>1</v>
      </c>
      <c r="H6702">
        <v>2023</v>
      </c>
      <c r="I6702" t="s">
        <v>6817</v>
      </c>
    </row>
    <row r="6703" spans="1:9" x14ac:dyDescent="0.3">
      <c r="A6703" t="s">
        <v>10125</v>
      </c>
      <c r="B6703" t="s">
        <v>102</v>
      </c>
      <c r="C6703">
        <v>9406582649</v>
      </c>
      <c r="D6703" s="2">
        <v>1</v>
      </c>
      <c r="E6703" t="str">
        <f>"4574674200850592"</f>
        <v>4574674200850592</v>
      </c>
      <c r="F6703" t="str">
        <f>"000"</f>
        <v>000</v>
      </c>
      <c r="G6703">
        <v>1</v>
      </c>
      <c r="H6703">
        <v>2023</v>
      </c>
      <c r="I6703" t="s">
        <v>6818</v>
      </c>
    </row>
    <row r="6704" spans="1:9" x14ac:dyDescent="0.3">
      <c r="A6704" t="s">
        <v>10125</v>
      </c>
      <c r="B6704" t="s">
        <v>102</v>
      </c>
      <c r="C6704">
        <v>9406582649</v>
      </c>
      <c r="D6704" s="2">
        <v>1</v>
      </c>
      <c r="E6704" t="str">
        <f>"4574674200850758"</f>
        <v>4574674200850758</v>
      </c>
      <c r="F6704" t="str">
        <f>"919"</f>
        <v>919</v>
      </c>
      <c r="G6704">
        <v>1</v>
      </c>
      <c r="H6704">
        <v>2023</v>
      </c>
      <c r="I6704" t="s">
        <v>6819</v>
      </c>
    </row>
    <row r="6705" spans="1:9" x14ac:dyDescent="0.3">
      <c r="A6705" t="s">
        <v>10125</v>
      </c>
      <c r="B6705" t="s">
        <v>102</v>
      </c>
      <c r="C6705">
        <v>9406582649</v>
      </c>
      <c r="D6705" s="2">
        <v>1</v>
      </c>
      <c r="E6705" t="str">
        <f>"4574674200850774"</f>
        <v>4574674200850774</v>
      </c>
      <c r="F6705" t="str">
        <f>"848"</f>
        <v>848</v>
      </c>
      <c r="G6705">
        <v>1</v>
      </c>
      <c r="H6705">
        <v>2023</v>
      </c>
      <c r="I6705" t="s">
        <v>6820</v>
      </c>
    </row>
    <row r="6706" spans="1:9" x14ac:dyDescent="0.3">
      <c r="A6706" t="s">
        <v>10125</v>
      </c>
      <c r="B6706" t="s">
        <v>102</v>
      </c>
      <c r="C6706">
        <v>9406582649</v>
      </c>
      <c r="D6706" s="2">
        <v>1</v>
      </c>
      <c r="E6706" t="str">
        <f>"4574674200850832"</f>
        <v>4574674200850832</v>
      </c>
      <c r="F6706" t="str">
        <f>"627"</f>
        <v>627</v>
      </c>
      <c r="G6706">
        <v>1</v>
      </c>
      <c r="H6706">
        <v>2023</v>
      </c>
      <c r="I6706" t="s">
        <v>6821</v>
      </c>
    </row>
    <row r="6707" spans="1:9" x14ac:dyDescent="0.3">
      <c r="A6707" t="s">
        <v>10125</v>
      </c>
      <c r="B6707" t="s">
        <v>102</v>
      </c>
      <c r="C6707">
        <v>9406582649</v>
      </c>
      <c r="D6707" s="2">
        <v>1</v>
      </c>
      <c r="E6707" t="str">
        <f>"4574674200850931"</f>
        <v>4574674200850931</v>
      </c>
      <c r="F6707" t="str">
        <f>"679"</f>
        <v>679</v>
      </c>
      <c r="G6707">
        <v>1</v>
      </c>
      <c r="H6707">
        <v>2023</v>
      </c>
      <c r="I6707" t="s">
        <v>6822</v>
      </c>
    </row>
    <row r="6708" spans="1:9" x14ac:dyDescent="0.3">
      <c r="A6708" t="s">
        <v>10126</v>
      </c>
      <c r="B6708" t="s">
        <v>103</v>
      </c>
      <c r="C6708">
        <v>9406582649</v>
      </c>
      <c r="D6708" s="2">
        <v>1</v>
      </c>
      <c r="E6708" t="str">
        <f>"4574674200850972"</f>
        <v>4574674200850972</v>
      </c>
      <c r="F6708" t="str">
        <f>"223"</f>
        <v>223</v>
      </c>
      <c r="G6708">
        <v>1</v>
      </c>
      <c r="H6708">
        <v>2023</v>
      </c>
      <c r="I6708" t="s">
        <v>6823</v>
      </c>
    </row>
    <row r="6709" spans="1:9" x14ac:dyDescent="0.3">
      <c r="A6709" t="s">
        <v>10126</v>
      </c>
      <c r="B6709" t="s">
        <v>103</v>
      </c>
      <c r="C6709">
        <v>9406582649</v>
      </c>
      <c r="D6709" s="2">
        <v>1</v>
      </c>
      <c r="E6709" t="str">
        <f>"4574674200851038"</f>
        <v>4574674200851038</v>
      </c>
      <c r="F6709" t="str">
        <f>"480"</f>
        <v>480</v>
      </c>
      <c r="G6709">
        <v>1</v>
      </c>
      <c r="H6709">
        <v>2023</v>
      </c>
      <c r="I6709" t="s">
        <v>6824</v>
      </c>
    </row>
    <row r="6710" spans="1:9" x14ac:dyDescent="0.3">
      <c r="A6710" t="s">
        <v>10126</v>
      </c>
      <c r="B6710" t="s">
        <v>103</v>
      </c>
      <c r="C6710">
        <v>9406582649</v>
      </c>
      <c r="D6710" s="2">
        <v>1</v>
      </c>
      <c r="E6710" t="str">
        <f>"4574674200851079"</f>
        <v>4574674200851079</v>
      </c>
      <c r="F6710" t="str">
        <f>"745"</f>
        <v>745</v>
      </c>
      <c r="G6710">
        <v>1</v>
      </c>
      <c r="H6710">
        <v>2023</v>
      </c>
      <c r="I6710" t="s">
        <v>6825</v>
      </c>
    </row>
    <row r="6711" spans="1:9" x14ac:dyDescent="0.3">
      <c r="A6711" t="s">
        <v>10126</v>
      </c>
      <c r="B6711" t="s">
        <v>103</v>
      </c>
      <c r="C6711">
        <v>9406582649</v>
      </c>
      <c r="D6711" s="2">
        <v>1</v>
      </c>
      <c r="E6711" t="str">
        <f>"4574674200851061"</f>
        <v>4574674200851061</v>
      </c>
      <c r="F6711" t="str">
        <f>"705"</f>
        <v>705</v>
      </c>
      <c r="G6711">
        <v>1</v>
      </c>
      <c r="H6711">
        <v>2023</v>
      </c>
      <c r="I6711" t="s">
        <v>6826</v>
      </c>
    </row>
    <row r="6712" spans="1:9" x14ac:dyDescent="0.3">
      <c r="A6712" t="s">
        <v>10126</v>
      </c>
      <c r="B6712" t="s">
        <v>103</v>
      </c>
      <c r="C6712">
        <v>9406582649</v>
      </c>
      <c r="D6712" s="2">
        <v>1</v>
      </c>
      <c r="E6712" t="str">
        <f>"4574674200851095"</f>
        <v>4574674200851095</v>
      </c>
      <c r="F6712" t="str">
        <f>"421"</f>
        <v>421</v>
      </c>
      <c r="G6712">
        <v>1</v>
      </c>
      <c r="H6712">
        <v>2023</v>
      </c>
      <c r="I6712" t="s">
        <v>6827</v>
      </c>
    </row>
    <row r="6713" spans="1:9" x14ac:dyDescent="0.3">
      <c r="A6713" t="s">
        <v>10126</v>
      </c>
      <c r="B6713" t="s">
        <v>103</v>
      </c>
      <c r="C6713">
        <v>9406582649</v>
      </c>
      <c r="D6713" s="2">
        <v>1</v>
      </c>
      <c r="E6713" t="str">
        <f>"4574674200851285"</f>
        <v>4574674200851285</v>
      </c>
      <c r="F6713" t="str">
        <f>"334"</f>
        <v>334</v>
      </c>
      <c r="G6713">
        <v>1</v>
      </c>
      <c r="H6713">
        <v>2023</v>
      </c>
      <c r="I6713" t="s">
        <v>6828</v>
      </c>
    </row>
    <row r="6714" spans="1:9" x14ac:dyDescent="0.3">
      <c r="A6714" t="s">
        <v>10126</v>
      </c>
      <c r="B6714" t="s">
        <v>103</v>
      </c>
      <c r="C6714">
        <v>9406582649</v>
      </c>
      <c r="D6714" s="2">
        <v>1</v>
      </c>
      <c r="E6714" t="str">
        <f>"4574674200851293"</f>
        <v>4574674200851293</v>
      </c>
      <c r="F6714" t="str">
        <f>"996"</f>
        <v>996</v>
      </c>
      <c r="G6714">
        <v>1</v>
      </c>
      <c r="H6714">
        <v>2023</v>
      </c>
      <c r="I6714" t="s">
        <v>6829</v>
      </c>
    </row>
    <row r="6715" spans="1:9" x14ac:dyDescent="0.3">
      <c r="A6715" t="s">
        <v>10126</v>
      </c>
      <c r="B6715" t="s">
        <v>103</v>
      </c>
      <c r="C6715">
        <v>9406582649</v>
      </c>
      <c r="D6715" s="2">
        <v>1</v>
      </c>
      <c r="E6715" t="str">
        <f>"4574674200851145"</f>
        <v>4574674200851145</v>
      </c>
      <c r="F6715" t="str">
        <f>"489"</f>
        <v>489</v>
      </c>
      <c r="G6715">
        <v>1</v>
      </c>
      <c r="H6715">
        <v>2023</v>
      </c>
      <c r="I6715" t="s">
        <v>6830</v>
      </c>
    </row>
    <row r="6716" spans="1:9" x14ac:dyDescent="0.3">
      <c r="A6716" t="s">
        <v>10126</v>
      </c>
      <c r="B6716" t="s">
        <v>103</v>
      </c>
      <c r="C6716">
        <v>9406582649</v>
      </c>
      <c r="D6716" s="2">
        <v>1</v>
      </c>
      <c r="E6716" t="str">
        <f>"4574674200851178"</f>
        <v>4574674200851178</v>
      </c>
      <c r="F6716" t="str">
        <f>"842"</f>
        <v>842</v>
      </c>
      <c r="G6716">
        <v>1</v>
      </c>
      <c r="H6716">
        <v>2023</v>
      </c>
      <c r="I6716" t="s">
        <v>6831</v>
      </c>
    </row>
    <row r="6717" spans="1:9" x14ac:dyDescent="0.3">
      <c r="A6717" t="s">
        <v>10126</v>
      </c>
      <c r="B6717" t="s">
        <v>103</v>
      </c>
      <c r="C6717">
        <v>9406582649</v>
      </c>
      <c r="D6717" s="2">
        <v>1</v>
      </c>
      <c r="E6717" t="str">
        <f>"4574674200851400"</f>
        <v>4574674200851400</v>
      </c>
      <c r="F6717" t="str">
        <f>"022"</f>
        <v>022</v>
      </c>
      <c r="G6717">
        <v>1</v>
      </c>
      <c r="H6717">
        <v>2023</v>
      </c>
      <c r="I6717" t="s">
        <v>6832</v>
      </c>
    </row>
    <row r="6718" spans="1:9" x14ac:dyDescent="0.3">
      <c r="A6718" t="s">
        <v>10127</v>
      </c>
      <c r="B6718" t="s">
        <v>104</v>
      </c>
      <c r="C6718">
        <v>9406582649</v>
      </c>
      <c r="D6718" s="2">
        <v>1</v>
      </c>
      <c r="E6718" t="str">
        <f>"4574674200851434"</f>
        <v>4574674200851434</v>
      </c>
      <c r="F6718" t="str">
        <f>"786"</f>
        <v>786</v>
      </c>
      <c r="G6718">
        <v>1</v>
      </c>
      <c r="H6718">
        <v>2023</v>
      </c>
      <c r="I6718" t="s">
        <v>6833</v>
      </c>
    </row>
    <row r="6719" spans="1:9" x14ac:dyDescent="0.3">
      <c r="A6719" t="s">
        <v>10127</v>
      </c>
      <c r="B6719" t="s">
        <v>104</v>
      </c>
      <c r="C6719">
        <v>9406582649</v>
      </c>
      <c r="D6719" s="2">
        <v>1</v>
      </c>
      <c r="E6719" t="str">
        <f>"4574674200851475"</f>
        <v>4574674200851475</v>
      </c>
      <c r="F6719" t="str">
        <f>"420"</f>
        <v>420</v>
      </c>
      <c r="G6719">
        <v>1</v>
      </c>
      <c r="H6719">
        <v>2023</v>
      </c>
      <c r="I6719" t="s">
        <v>6834</v>
      </c>
    </row>
    <row r="6720" spans="1:9" x14ac:dyDescent="0.3">
      <c r="A6720" t="s">
        <v>10127</v>
      </c>
      <c r="B6720" t="s">
        <v>104</v>
      </c>
      <c r="C6720">
        <v>9406582649</v>
      </c>
      <c r="D6720" s="2">
        <v>1</v>
      </c>
      <c r="E6720" t="str">
        <f>"4574674200851632"</f>
        <v>4574674200851632</v>
      </c>
      <c r="F6720" t="str">
        <f>"794"</f>
        <v>794</v>
      </c>
      <c r="G6720">
        <v>1</v>
      </c>
      <c r="H6720">
        <v>2023</v>
      </c>
      <c r="I6720" t="s">
        <v>6835</v>
      </c>
    </row>
    <row r="6721" spans="1:9" x14ac:dyDescent="0.3">
      <c r="A6721" t="s">
        <v>10127</v>
      </c>
      <c r="B6721" t="s">
        <v>104</v>
      </c>
      <c r="C6721">
        <v>9406582649</v>
      </c>
      <c r="D6721" s="2">
        <v>1</v>
      </c>
      <c r="E6721" t="str">
        <f>"4574674200851681"</f>
        <v>4574674200851681</v>
      </c>
      <c r="F6721" t="str">
        <f>"529"</f>
        <v>529</v>
      </c>
      <c r="G6721">
        <v>1</v>
      </c>
      <c r="H6721">
        <v>2023</v>
      </c>
      <c r="I6721" t="s">
        <v>6836</v>
      </c>
    </row>
    <row r="6722" spans="1:9" x14ac:dyDescent="0.3">
      <c r="A6722" t="s">
        <v>10127</v>
      </c>
      <c r="B6722" t="s">
        <v>104</v>
      </c>
      <c r="C6722">
        <v>9406582649</v>
      </c>
      <c r="D6722" s="2">
        <v>1</v>
      </c>
      <c r="E6722" t="str">
        <f>"4574674200851822"</f>
        <v>4574674200851822</v>
      </c>
      <c r="F6722" t="str">
        <f>"485"</f>
        <v>485</v>
      </c>
      <c r="G6722">
        <v>1</v>
      </c>
      <c r="H6722">
        <v>2023</v>
      </c>
      <c r="I6722" t="s">
        <v>6837</v>
      </c>
    </row>
    <row r="6723" spans="1:9" x14ac:dyDescent="0.3">
      <c r="A6723" t="s">
        <v>10127</v>
      </c>
      <c r="B6723" t="s">
        <v>104</v>
      </c>
      <c r="C6723">
        <v>9406582649</v>
      </c>
      <c r="D6723" s="2">
        <v>1</v>
      </c>
      <c r="E6723" t="str">
        <f>"4574674200851848"</f>
        <v>4574674200851848</v>
      </c>
      <c r="F6723" t="str">
        <f>"997"</f>
        <v>997</v>
      </c>
      <c r="G6723">
        <v>1</v>
      </c>
      <c r="H6723">
        <v>2023</v>
      </c>
      <c r="I6723" t="s">
        <v>6838</v>
      </c>
    </row>
    <row r="6724" spans="1:9" x14ac:dyDescent="0.3">
      <c r="A6724" t="s">
        <v>10127</v>
      </c>
      <c r="B6724" t="s">
        <v>104</v>
      </c>
      <c r="C6724">
        <v>9406582649</v>
      </c>
      <c r="D6724" s="2">
        <v>1</v>
      </c>
      <c r="E6724" t="str">
        <f>"4574674200851715"</f>
        <v>4574674200851715</v>
      </c>
      <c r="F6724" t="str">
        <f>"211"</f>
        <v>211</v>
      </c>
      <c r="G6724">
        <v>1</v>
      </c>
      <c r="H6724">
        <v>2023</v>
      </c>
      <c r="I6724" t="s">
        <v>6839</v>
      </c>
    </row>
    <row r="6725" spans="1:9" x14ac:dyDescent="0.3">
      <c r="A6725" t="s">
        <v>10127</v>
      </c>
      <c r="B6725" t="s">
        <v>104</v>
      </c>
      <c r="C6725">
        <v>9406582649</v>
      </c>
      <c r="D6725" s="2">
        <v>1</v>
      </c>
      <c r="E6725" t="str">
        <f>"4574674200851749"</f>
        <v>4574674200851749</v>
      </c>
      <c r="F6725" t="str">
        <f>"496"</f>
        <v>496</v>
      </c>
      <c r="G6725">
        <v>1</v>
      </c>
      <c r="H6725">
        <v>2023</v>
      </c>
      <c r="I6725" t="s">
        <v>6840</v>
      </c>
    </row>
    <row r="6726" spans="1:9" x14ac:dyDescent="0.3">
      <c r="A6726" t="s">
        <v>10127</v>
      </c>
      <c r="B6726" t="s">
        <v>104</v>
      </c>
      <c r="C6726">
        <v>9406582649</v>
      </c>
      <c r="D6726" s="2">
        <v>1</v>
      </c>
      <c r="E6726" t="str">
        <f>"4574674200851855"</f>
        <v>4574674200851855</v>
      </c>
      <c r="F6726" t="str">
        <f>"964"</f>
        <v>964</v>
      </c>
      <c r="G6726">
        <v>1</v>
      </c>
      <c r="H6726">
        <v>2023</v>
      </c>
      <c r="I6726" t="s">
        <v>6841</v>
      </c>
    </row>
    <row r="6727" spans="1:9" x14ac:dyDescent="0.3">
      <c r="A6727" t="s">
        <v>10127</v>
      </c>
      <c r="B6727" t="s">
        <v>104</v>
      </c>
      <c r="C6727">
        <v>9406582649</v>
      </c>
      <c r="D6727" s="2">
        <v>1</v>
      </c>
      <c r="E6727" t="str">
        <f>"4574674200851863"</f>
        <v>4574674200851863</v>
      </c>
      <c r="F6727" t="str">
        <f>"079"</f>
        <v>079</v>
      </c>
      <c r="G6727">
        <v>1</v>
      </c>
      <c r="H6727">
        <v>2023</v>
      </c>
      <c r="I6727" t="s">
        <v>6842</v>
      </c>
    </row>
    <row r="6728" spans="1:9" x14ac:dyDescent="0.3">
      <c r="A6728" t="s">
        <v>10128</v>
      </c>
      <c r="B6728" t="s">
        <v>105</v>
      </c>
      <c r="C6728">
        <v>9406582649</v>
      </c>
      <c r="D6728" s="2">
        <v>1</v>
      </c>
      <c r="E6728" t="str">
        <f>"4574674200852051"</f>
        <v>4574674200852051</v>
      </c>
      <c r="F6728" t="str">
        <f>"682"</f>
        <v>682</v>
      </c>
      <c r="G6728">
        <v>1</v>
      </c>
      <c r="H6728">
        <v>2023</v>
      </c>
      <c r="I6728" t="s">
        <v>6843</v>
      </c>
    </row>
    <row r="6729" spans="1:9" x14ac:dyDescent="0.3">
      <c r="A6729" t="s">
        <v>10128</v>
      </c>
      <c r="B6729" t="s">
        <v>105</v>
      </c>
      <c r="C6729">
        <v>9406582649</v>
      </c>
      <c r="D6729" s="2">
        <v>1</v>
      </c>
      <c r="E6729" t="str">
        <f>"4574674200851954"</f>
        <v>4574674200851954</v>
      </c>
      <c r="F6729" t="str">
        <f>"992"</f>
        <v>992</v>
      </c>
      <c r="G6729">
        <v>1</v>
      </c>
      <c r="H6729">
        <v>2023</v>
      </c>
      <c r="I6729" t="s">
        <v>6844</v>
      </c>
    </row>
    <row r="6730" spans="1:9" x14ac:dyDescent="0.3">
      <c r="A6730" t="s">
        <v>10128</v>
      </c>
      <c r="B6730" t="s">
        <v>105</v>
      </c>
      <c r="C6730">
        <v>9406582649</v>
      </c>
      <c r="D6730" s="2">
        <v>1</v>
      </c>
      <c r="E6730" t="str">
        <f>"4574674200852093"</f>
        <v>4574674200852093</v>
      </c>
      <c r="F6730" t="str">
        <f>"177"</f>
        <v>177</v>
      </c>
      <c r="G6730">
        <v>1</v>
      </c>
      <c r="H6730">
        <v>2023</v>
      </c>
      <c r="I6730" t="s">
        <v>6845</v>
      </c>
    </row>
    <row r="6731" spans="1:9" x14ac:dyDescent="0.3">
      <c r="A6731" t="s">
        <v>10128</v>
      </c>
      <c r="B6731" t="s">
        <v>105</v>
      </c>
      <c r="C6731">
        <v>9406582649</v>
      </c>
      <c r="D6731" s="2">
        <v>1</v>
      </c>
      <c r="E6731" t="str">
        <f>"4574674200852119"</f>
        <v>4574674200852119</v>
      </c>
      <c r="F6731" t="str">
        <f>"825"</f>
        <v>825</v>
      </c>
      <c r="G6731">
        <v>1</v>
      </c>
      <c r="H6731">
        <v>2023</v>
      </c>
      <c r="I6731" t="s">
        <v>6846</v>
      </c>
    </row>
    <row r="6732" spans="1:9" x14ac:dyDescent="0.3">
      <c r="A6732" t="s">
        <v>10128</v>
      </c>
      <c r="B6732" t="s">
        <v>105</v>
      </c>
      <c r="C6732">
        <v>9406582649</v>
      </c>
      <c r="D6732" s="2">
        <v>1</v>
      </c>
      <c r="E6732" t="str">
        <f>"4574674200851962"</f>
        <v>4574674200851962</v>
      </c>
      <c r="F6732" t="str">
        <f>"857"</f>
        <v>857</v>
      </c>
      <c r="G6732">
        <v>1</v>
      </c>
      <c r="H6732">
        <v>2023</v>
      </c>
      <c r="I6732" t="s">
        <v>6847</v>
      </c>
    </row>
    <row r="6733" spans="1:9" x14ac:dyDescent="0.3">
      <c r="A6733" t="s">
        <v>10128</v>
      </c>
      <c r="B6733" t="s">
        <v>105</v>
      </c>
      <c r="C6733">
        <v>9406582649</v>
      </c>
      <c r="D6733" s="2">
        <v>1</v>
      </c>
      <c r="E6733" t="str">
        <f>"4574674200851970"</f>
        <v>4574674200851970</v>
      </c>
      <c r="F6733" t="str">
        <f>"211"</f>
        <v>211</v>
      </c>
      <c r="G6733">
        <v>1</v>
      </c>
      <c r="H6733">
        <v>2023</v>
      </c>
      <c r="I6733" t="s">
        <v>6848</v>
      </c>
    </row>
    <row r="6734" spans="1:9" x14ac:dyDescent="0.3">
      <c r="A6734" t="s">
        <v>10128</v>
      </c>
      <c r="B6734" t="s">
        <v>105</v>
      </c>
      <c r="C6734">
        <v>9406582649</v>
      </c>
      <c r="D6734" s="2">
        <v>1</v>
      </c>
      <c r="E6734" t="str">
        <f>"4574674200852218"</f>
        <v>4574674200852218</v>
      </c>
      <c r="F6734" t="str">
        <f>"048"</f>
        <v>048</v>
      </c>
      <c r="G6734">
        <v>1</v>
      </c>
      <c r="H6734">
        <v>2023</v>
      </c>
      <c r="I6734" t="s">
        <v>6849</v>
      </c>
    </row>
    <row r="6735" spans="1:9" x14ac:dyDescent="0.3">
      <c r="A6735" t="s">
        <v>10128</v>
      </c>
      <c r="B6735" t="s">
        <v>105</v>
      </c>
      <c r="C6735">
        <v>9406582649</v>
      </c>
      <c r="D6735" s="2">
        <v>1</v>
      </c>
      <c r="E6735" t="str">
        <f>"4574674200852408"</f>
        <v>4574674200852408</v>
      </c>
      <c r="F6735" t="str">
        <f>"113"</f>
        <v>113</v>
      </c>
      <c r="G6735">
        <v>1</v>
      </c>
      <c r="H6735">
        <v>2023</v>
      </c>
      <c r="I6735" t="s">
        <v>6850</v>
      </c>
    </row>
    <row r="6736" spans="1:9" x14ac:dyDescent="0.3">
      <c r="A6736" t="s">
        <v>10128</v>
      </c>
      <c r="B6736" t="s">
        <v>105</v>
      </c>
      <c r="C6736">
        <v>9406582649</v>
      </c>
      <c r="D6736" s="2">
        <v>1</v>
      </c>
      <c r="E6736" t="str">
        <f>"4574674200852424"</f>
        <v>4574674200852424</v>
      </c>
      <c r="F6736" t="str">
        <f>"936"</f>
        <v>936</v>
      </c>
      <c r="G6736">
        <v>1</v>
      </c>
      <c r="H6736">
        <v>2023</v>
      </c>
      <c r="I6736" t="s">
        <v>6851</v>
      </c>
    </row>
    <row r="6737" spans="1:9" x14ac:dyDescent="0.3">
      <c r="A6737" t="s">
        <v>10128</v>
      </c>
      <c r="B6737" t="s">
        <v>105</v>
      </c>
      <c r="C6737">
        <v>9406582649</v>
      </c>
      <c r="D6737" s="2">
        <v>1</v>
      </c>
      <c r="E6737" t="str">
        <f>"4574674200852432"</f>
        <v>4574674200852432</v>
      </c>
      <c r="F6737" t="str">
        <f>"424"</f>
        <v>424</v>
      </c>
      <c r="G6737">
        <v>1</v>
      </c>
      <c r="H6737">
        <v>2023</v>
      </c>
      <c r="I6737" t="s">
        <v>6852</v>
      </c>
    </row>
    <row r="6738" spans="1:9" x14ac:dyDescent="0.3">
      <c r="A6738" t="s">
        <v>10129</v>
      </c>
      <c r="B6738" t="s">
        <v>106</v>
      </c>
      <c r="C6738">
        <v>9406582649</v>
      </c>
      <c r="D6738" s="2">
        <v>1</v>
      </c>
      <c r="E6738" t="str">
        <f>"4574674200852267"</f>
        <v>4574674200852267</v>
      </c>
      <c r="F6738" t="str">
        <f>"962"</f>
        <v>962</v>
      </c>
      <c r="G6738">
        <v>1</v>
      </c>
      <c r="H6738">
        <v>2023</v>
      </c>
      <c r="I6738" t="s">
        <v>6853</v>
      </c>
    </row>
    <row r="6739" spans="1:9" x14ac:dyDescent="0.3">
      <c r="A6739" t="s">
        <v>10129</v>
      </c>
      <c r="B6739" t="s">
        <v>106</v>
      </c>
      <c r="C6739">
        <v>9406582649</v>
      </c>
      <c r="D6739" s="2">
        <v>1</v>
      </c>
      <c r="E6739" t="str">
        <f>"4574674200852283"</f>
        <v>4574674200852283</v>
      </c>
      <c r="F6739" t="str">
        <f>"651"</f>
        <v>651</v>
      </c>
      <c r="G6739">
        <v>1</v>
      </c>
      <c r="H6739">
        <v>2023</v>
      </c>
      <c r="I6739" t="s">
        <v>6854</v>
      </c>
    </row>
    <row r="6740" spans="1:9" x14ac:dyDescent="0.3">
      <c r="A6740" t="s">
        <v>10129</v>
      </c>
      <c r="B6740" t="s">
        <v>106</v>
      </c>
      <c r="C6740">
        <v>9406582649</v>
      </c>
      <c r="D6740" s="2">
        <v>1</v>
      </c>
      <c r="E6740" t="str">
        <f>"4574674200852291"</f>
        <v>4574674200852291</v>
      </c>
      <c r="F6740" t="str">
        <f>"087"</f>
        <v>087</v>
      </c>
      <c r="G6740">
        <v>1</v>
      </c>
      <c r="H6740">
        <v>2023</v>
      </c>
      <c r="I6740" t="s">
        <v>6855</v>
      </c>
    </row>
    <row r="6741" spans="1:9" x14ac:dyDescent="0.3">
      <c r="A6741" t="s">
        <v>10129</v>
      </c>
      <c r="B6741" t="s">
        <v>106</v>
      </c>
      <c r="C6741">
        <v>9406582649</v>
      </c>
      <c r="D6741" s="2">
        <v>1</v>
      </c>
      <c r="E6741" t="str">
        <f>"4574674200852374"</f>
        <v>4574674200852374</v>
      </c>
      <c r="F6741" t="str">
        <f>"481"</f>
        <v>481</v>
      </c>
      <c r="G6741">
        <v>1</v>
      </c>
      <c r="H6741">
        <v>2023</v>
      </c>
      <c r="I6741" t="s">
        <v>6856</v>
      </c>
    </row>
    <row r="6742" spans="1:9" x14ac:dyDescent="0.3">
      <c r="A6742" t="s">
        <v>10129</v>
      </c>
      <c r="B6742" t="s">
        <v>106</v>
      </c>
      <c r="C6742">
        <v>9406582649</v>
      </c>
      <c r="D6742" s="2">
        <v>1</v>
      </c>
      <c r="E6742" t="str">
        <f>"4574674200852382"</f>
        <v>4574674200852382</v>
      </c>
      <c r="F6742" t="str">
        <f>"009"</f>
        <v>009</v>
      </c>
      <c r="G6742">
        <v>1</v>
      </c>
      <c r="H6742">
        <v>2023</v>
      </c>
      <c r="I6742" t="s">
        <v>6857</v>
      </c>
    </row>
    <row r="6743" spans="1:9" x14ac:dyDescent="0.3">
      <c r="A6743" t="s">
        <v>10129</v>
      </c>
      <c r="B6743" t="s">
        <v>106</v>
      </c>
      <c r="C6743">
        <v>9406582649</v>
      </c>
      <c r="D6743" s="2">
        <v>1</v>
      </c>
      <c r="E6743" t="str">
        <f>"4574674200852606"</f>
        <v>4574674200852606</v>
      </c>
      <c r="F6743" t="str">
        <f>"488"</f>
        <v>488</v>
      </c>
      <c r="G6743">
        <v>1</v>
      </c>
      <c r="H6743">
        <v>2023</v>
      </c>
      <c r="I6743" t="s">
        <v>6858</v>
      </c>
    </row>
    <row r="6744" spans="1:9" x14ac:dyDescent="0.3">
      <c r="A6744" t="s">
        <v>10129</v>
      </c>
      <c r="B6744" t="s">
        <v>106</v>
      </c>
      <c r="C6744">
        <v>9406582649</v>
      </c>
      <c r="D6744" s="2">
        <v>1</v>
      </c>
      <c r="E6744" t="str">
        <f>"4574674200852564"</f>
        <v>4574674200852564</v>
      </c>
      <c r="F6744" t="str">
        <f>"317"</f>
        <v>317</v>
      </c>
      <c r="G6744">
        <v>1</v>
      </c>
      <c r="H6744">
        <v>2023</v>
      </c>
      <c r="I6744" t="s">
        <v>6859</v>
      </c>
    </row>
    <row r="6745" spans="1:9" x14ac:dyDescent="0.3">
      <c r="A6745" t="s">
        <v>10129</v>
      </c>
      <c r="B6745" t="s">
        <v>106</v>
      </c>
      <c r="C6745">
        <v>9406582649</v>
      </c>
      <c r="D6745" s="2">
        <v>1</v>
      </c>
      <c r="E6745" t="str">
        <f>"4574674200852572"</f>
        <v>4574674200852572</v>
      </c>
      <c r="F6745" t="str">
        <f>"080"</f>
        <v>080</v>
      </c>
      <c r="G6745">
        <v>1</v>
      </c>
      <c r="H6745">
        <v>2023</v>
      </c>
      <c r="I6745" t="s">
        <v>6860</v>
      </c>
    </row>
    <row r="6746" spans="1:9" x14ac:dyDescent="0.3">
      <c r="A6746" t="s">
        <v>10129</v>
      </c>
      <c r="B6746" t="s">
        <v>106</v>
      </c>
      <c r="C6746">
        <v>9406582649</v>
      </c>
      <c r="D6746" s="2">
        <v>1</v>
      </c>
      <c r="E6746" t="str">
        <f>"4574674200852598"</f>
        <v>4574674200852598</v>
      </c>
      <c r="F6746" t="str">
        <f>"967"</f>
        <v>967</v>
      </c>
      <c r="G6746">
        <v>1</v>
      </c>
      <c r="H6746">
        <v>2023</v>
      </c>
      <c r="I6746" t="s">
        <v>6861</v>
      </c>
    </row>
    <row r="6747" spans="1:9" x14ac:dyDescent="0.3">
      <c r="A6747" t="s">
        <v>10129</v>
      </c>
      <c r="B6747" t="s">
        <v>106</v>
      </c>
      <c r="C6747">
        <v>9406582649</v>
      </c>
      <c r="D6747" s="2">
        <v>1</v>
      </c>
      <c r="E6747" t="str">
        <f>"4574674200852655"</f>
        <v>4574674200852655</v>
      </c>
      <c r="F6747" t="str">
        <f>"122"</f>
        <v>122</v>
      </c>
      <c r="G6747">
        <v>1</v>
      </c>
      <c r="H6747">
        <v>2023</v>
      </c>
      <c r="I6747" t="s">
        <v>6862</v>
      </c>
    </row>
    <row r="6748" spans="1:9" x14ac:dyDescent="0.3">
      <c r="A6748" t="s">
        <v>10130</v>
      </c>
      <c r="B6748" t="s">
        <v>107</v>
      </c>
      <c r="C6748">
        <v>9406582649</v>
      </c>
      <c r="D6748" s="2">
        <v>1</v>
      </c>
      <c r="E6748" t="str">
        <f>"4574674200852614"</f>
        <v>4574674200852614</v>
      </c>
      <c r="F6748" t="str">
        <f>"078"</f>
        <v>078</v>
      </c>
      <c r="G6748">
        <v>1</v>
      </c>
      <c r="H6748">
        <v>2023</v>
      </c>
      <c r="I6748" t="s">
        <v>6863</v>
      </c>
    </row>
    <row r="6749" spans="1:9" x14ac:dyDescent="0.3">
      <c r="A6749" t="s">
        <v>10130</v>
      </c>
      <c r="B6749" t="s">
        <v>107</v>
      </c>
      <c r="C6749">
        <v>9406582649</v>
      </c>
      <c r="D6749" s="2">
        <v>1</v>
      </c>
      <c r="E6749" t="str">
        <f>"4574674200852622"</f>
        <v>4574674200852622</v>
      </c>
      <c r="F6749" t="str">
        <f>"594"</f>
        <v>594</v>
      </c>
      <c r="G6749">
        <v>1</v>
      </c>
      <c r="H6749">
        <v>2023</v>
      </c>
      <c r="I6749" t="s">
        <v>6864</v>
      </c>
    </row>
    <row r="6750" spans="1:9" x14ac:dyDescent="0.3">
      <c r="A6750" t="s">
        <v>10130</v>
      </c>
      <c r="B6750" t="s">
        <v>107</v>
      </c>
      <c r="C6750">
        <v>9406582649</v>
      </c>
      <c r="D6750" s="2">
        <v>1</v>
      </c>
      <c r="E6750" t="str">
        <f>"4574674200852689"</f>
        <v>4574674200852689</v>
      </c>
      <c r="F6750" t="str">
        <f>"131"</f>
        <v>131</v>
      </c>
      <c r="G6750">
        <v>1</v>
      </c>
      <c r="H6750">
        <v>2023</v>
      </c>
      <c r="I6750" t="s">
        <v>6865</v>
      </c>
    </row>
    <row r="6751" spans="1:9" x14ac:dyDescent="0.3">
      <c r="A6751" t="s">
        <v>10130</v>
      </c>
      <c r="B6751" t="s">
        <v>107</v>
      </c>
      <c r="C6751">
        <v>9406582649</v>
      </c>
      <c r="D6751" s="2">
        <v>1</v>
      </c>
      <c r="E6751" t="str">
        <f>"4574674200852853"</f>
        <v>4574674200852853</v>
      </c>
      <c r="F6751" t="str">
        <f>"873"</f>
        <v>873</v>
      </c>
      <c r="G6751">
        <v>1</v>
      </c>
      <c r="H6751">
        <v>2023</v>
      </c>
      <c r="I6751" t="s">
        <v>6866</v>
      </c>
    </row>
    <row r="6752" spans="1:9" x14ac:dyDescent="0.3">
      <c r="A6752" t="s">
        <v>10130</v>
      </c>
      <c r="B6752" t="s">
        <v>107</v>
      </c>
      <c r="C6752">
        <v>9406582649</v>
      </c>
      <c r="D6752" s="2">
        <v>1</v>
      </c>
      <c r="E6752" t="str">
        <f>"4574674200852739"</f>
        <v>4574674200852739</v>
      </c>
      <c r="F6752" t="str">
        <f>"664"</f>
        <v>664</v>
      </c>
      <c r="G6752">
        <v>1</v>
      </c>
      <c r="H6752">
        <v>2023</v>
      </c>
      <c r="I6752" t="s">
        <v>6867</v>
      </c>
    </row>
    <row r="6753" spans="1:9" x14ac:dyDescent="0.3">
      <c r="A6753" t="s">
        <v>10130</v>
      </c>
      <c r="B6753" t="s">
        <v>107</v>
      </c>
      <c r="C6753">
        <v>9406582649</v>
      </c>
      <c r="D6753" s="2">
        <v>1</v>
      </c>
      <c r="E6753" t="str">
        <f>"4574674200852770"</f>
        <v>4574674200852770</v>
      </c>
      <c r="F6753" t="str">
        <f>"111"</f>
        <v>111</v>
      </c>
      <c r="G6753">
        <v>1</v>
      </c>
      <c r="H6753">
        <v>2023</v>
      </c>
      <c r="I6753" t="s">
        <v>6868</v>
      </c>
    </row>
    <row r="6754" spans="1:9" x14ac:dyDescent="0.3">
      <c r="A6754" t="s">
        <v>10130</v>
      </c>
      <c r="B6754" t="s">
        <v>107</v>
      </c>
      <c r="C6754">
        <v>9406582649</v>
      </c>
      <c r="D6754" s="2">
        <v>1</v>
      </c>
      <c r="E6754" t="str">
        <f>"4574674200852796"</f>
        <v>4574674200852796</v>
      </c>
      <c r="F6754" t="str">
        <f>"913"</f>
        <v>913</v>
      </c>
      <c r="G6754">
        <v>1</v>
      </c>
      <c r="H6754">
        <v>2023</v>
      </c>
      <c r="I6754" t="s">
        <v>6869</v>
      </c>
    </row>
    <row r="6755" spans="1:9" x14ac:dyDescent="0.3">
      <c r="A6755" t="s">
        <v>10130</v>
      </c>
      <c r="B6755" t="s">
        <v>107</v>
      </c>
      <c r="C6755">
        <v>9406582649</v>
      </c>
      <c r="D6755" s="2">
        <v>1</v>
      </c>
      <c r="E6755" t="str">
        <f>"4574674200852994"</f>
        <v>4574674200852994</v>
      </c>
      <c r="F6755" t="str">
        <f>"447"</f>
        <v>447</v>
      </c>
      <c r="G6755">
        <v>1</v>
      </c>
      <c r="H6755">
        <v>2023</v>
      </c>
      <c r="I6755" t="s">
        <v>6870</v>
      </c>
    </row>
    <row r="6756" spans="1:9" x14ac:dyDescent="0.3">
      <c r="A6756" t="s">
        <v>10130</v>
      </c>
      <c r="B6756" t="s">
        <v>107</v>
      </c>
      <c r="C6756">
        <v>9406582649</v>
      </c>
      <c r="D6756" s="2">
        <v>1</v>
      </c>
      <c r="E6756" t="str">
        <f>"4574674200853042"</f>
        <v>4574674200853042</v>
      </c>
      <c r="F6756" t="str">
        <f>"536"</f>
        <v>536</v>
      </c>
      <c r="G6756">
        <v>1</v>
      </c>
      <c r="H6756">
        <v>2023</v>
      </c>
      <c r="I6756" t="s">
        <v>6871</v>
      </c>
    </row>
    <row r="6757" spans="1:9" x14ac:dyDescent="0.3">
      <c r="A6757" t="s">
        <v>10130</v>
      </c>
      <c r="B6757" t="s">
        <v>107</v>
      </c>
      <c r="C6757">
        <v>9406582649</v>
      </c>
      <c r="D6757" s="2">
        <v>1</v>
      </c>
      <c r="E6757" t="str">
        <f>"4574674200853091"</f>
        <v>4574674200853091</v>
      </c>
      <c r="F6757" t="str">
        <f>"347"</f>
        <v>347</v>
      </c>
      <c r="G6757">
        <v>1</v>
      </c>
      <c r="H6757">
        <v>2023</v>
      </c>
      <c r="I6757" t="s">
        <v>6872</v>
      </c>
    </row>
    <row r="6758" spans="1:9" x14ac:dyDescent="0.3">
      <c r="A6758" t="s">
        <v>10131</v>
      </c>
      <c r="B6758" t="s">
        <v>108</v>
      </c>
      <c r="C6758">
        <v>9406582649</v>
      </c>
      <c r="D6758" s="2">
        <v>1</v>
      </c>
      <c r="E6758" t="str">
        <f>"4574674200853133"</f>
        <v>4574674200853133</v>
      </c>
      <c r="F6758" t="str">
        <f>"497"</f>
        <v>497</v>
      </c>
      <c r="G6758">
        <v>1</v>
      </c>
      <c r="H6758">
        <v>2023</v>
      </c>
      <c r="I6758" t="s">
        <v>6873</v>
      </c>
    </row>
    <row r="6759" spans="1:9" x14ac:dyDescent="0.3">
      <c r="A6759" t="s">
        <v>10131</v>
      </c>
      <c r="B6759" t="s">
        <v>108</v>
      </c>
      <c r="C6759">
        <v>9406582649</v>
      </c>
      <c r="D6759" s="2">
        <v>1</v>
      </c>
      <c r="E6759" t="str">
        <f>"4574674200853158"</f>
        <v>4574674200853158</v>
      </c>
      <c r="F6759" t="str">
        <f>"246"</f>
        <v>246</v>
      </c>
      <c r="G6759">
        <v>1</v>
      </c>
      <c r="H6759">
        <v>2023</v>
      </c>
      <c r="I6759" t="s">
        <v>6874</v>
      </c>
    </row>
    <row r="6760" spans="1:9" x14ac:dyDescent="0.3">
      <c r="A6760" t="s">
        <v>10131</v>
      </c>
      <c r="B6760" t="s">
        <v>108</v>
      </c>
      <c r="C6760">
        <v>9406582649</v>
      </c>
      <c r="D6760" s="2">
        <v>1</v>
      </c>
      <c r="E6760" t="str">
        <f>"4574674200853414"</f>
        <v>4574674200853414</v>
      </c>
      <c r="F6760" t="str">
        <f>"875"</f>
        <v>875</v>
      </c>
      <c r="G6760">
        <v>1</v>
      </c>
      <c r="H6760">
        <v>2023</v>
      </c>
      <c r="I6760" t="s">
        <v>6875</v>
      </c>
    </row>
    <row r="6761" spans="1:9" x14ac:dyDescent="0.3">
      <c r="A6761" t="s">
        <v>10131</v>
      </c>
      <c r="B6761" t="s">
        <v>108</v>
      </c>
      <c r="C6761">
        <v>9406582649</v>
      </c>
      <c r="D6761" s="2">
        <v>1</v>
      </c>
      <c r="E6761" t="str">
        <f>"4574674200853448"</f>
        <v>4574674200853448</v>
      </c>
      <c r="F6761" t="str">
        <f>"027"</f>
        <v>027</v>
      </c>
      <c r="G6761">
        <v>1</v>
      </c>
      <c r="H6761">
        <v>2023</v>
      </c>
      <c r="I6761" t="s">
        <v>6876</v>
      </c>
    </row>
    <row r="6762" spans="1:9" x14ac:dyDescent="0.3">
      <c r="A6762" t="s">
        <v>10131</v>
      </c>
      <c r="B6762" t="s">
        <v>108</v>
      </c>
      <c r="C6762">
        <v>9406582649</v>
      </c>
      <c r="D6762" s="2">
        <v>1</v>
      </c>
      <c r="E6762" t="str">
        <f>"4574674200853455"</f>
        <v>4574674200853455</v>
      </c>
      <c r="F6762" t="str">
        <f>"129"</f>
        <v>129</v>
      </c>
      <c r="G6762">
        <v>1</v>
      </c>
      <c r="H6762">
        <v>2023</v>
      </c>
      <c r="I6762" t="s">
        <v>6877</v>
      </c>
    </row>
    <row r="6763" spans="1:9" x14ac:dyDescent="0.3">
      <c r="A6763" t="s">
        <v>10131</v>
      </c>
      <c r="B6763" t="s">
        <v>108</v>
      </c>
      <c r="C6763">
        <v>9406582649</v>
      </c>
      <c r="D6763" s="2">
        <v>1</v>
      </c>
      <c r="E6763" t="str">
        <f>"4574674200853604"</f>
        <v>4574674200853604</v>
      </c>
      <c r="F6763" t="str">
        <f>"899"</f>
        <v>899</v>
      </c>
      <c r="G6763">
        <v>1</v>
      </c>
      <c r="H6763">
        <v>2023</v>
      </c>
      <c r="I6763" t="s">
        <v>6878</v>
      </c>
    </row>
    <row r="6764" spans="1:9" x14ac:dyDescent="0.3">
      <c r="A6764" t="s">
        <v>10131</v>
      </c>
      <c r="B6764" t="s">
        <v>108</v>
      </c>
      <c r="C6764">
        <v>9406582649</v>
      </c>
      <c r="D6764" s="2">
        <v>1</v>
      </c>
      <c r="E6764" t="str">
        <f>"4574674200853638"</f>
        <v>4574674200853638</v>
      </c>
      <c r="F6764" t="str">
        <f>"407"</f>
        <v>407</v>
      </c>
      <c r="G6764">
        <v>1</v>
      </c>
      <c r="H6764">
        <v>2023</v>
      </c>
      <c r="I6764" t="s">
        <v>6879</v>
      </c>
    </row>
    <row r="6765" spans="1:9" x14ac:dyDescent="0.3">
      <c r="A6765" t="s">
        <v>10131</v>
      </c>
      <c r="B6765" t="s">
        <v>108</v>
      </c>
      <c r="C6765">
        <v>9406582649</v>
      </c>
      <c r="D6765" s="2">
        <v>1</v>
      </c>
      <c r="E6765" t="str">
        <f>"4574674200853505"</f>
        <v>4574674200853505</v>
      </c>
      <c r="F6765" t="str">
        <f>"551"</f>
        <v>551</v>
      </c>
      <c r="G6765">
        <v>1</v>
      </c>
      <c r="H6765">
        <v>2023</v>
      </c>
      <c r="I6765" t="s">
        <v>6880</v>
      </c>
    </row>
    <row r="6766" spans="1:9" x14ac:dyDescent="0.3">
      <c r="A6766" t="s">
        <v>10131</v>
      </c>
      <c r="B6766" t="s">
        <v>108</v>
      </c>
      <c r="C6766">
        <v>9406582649</v>
      </c>
      <c r="D6766" s="2">
        <v>1</v>
      </c>
      <c r="E6766" t="str">
        <f>"4574674200853679"</f>
        <v>4574674200853679</v>
      </c>
      <c r="F6766" t="str">
        <f>"004"</f>
        <v>004</v>
      </c>
      <c r="G6766">
        <v>1</v>
      </c>
      <c r="H6766">
        <v>2023</v>
      </c>
      <c r="I6766" t="s">
        <v>6881</v>
      </c>
    </row>
    <row r="6767" spans="1:9" x14ac:dyDescent="0.3">
      <c r="A6767" t="s">
        <v>10131</v>
      </c>
      <c r="B6767" t="s">
        <v>108</v>
      </c>
      <c r="C6767">
        <v>9406582649</v>
      </c>
      <c r="D6767" s="2">
        <v>1</v>
      </c>
      <c r="E6767" t="str">
        <f>"4574674200853570"</f>
        <v>4574674200853570</v>
      </c>
      <c r="F6767" t="str">
        <f>"311"</f>
        <v>311</v>
      </c>
      <c r="G6767">
        <v>1</v>
      </c>
      <c r="H6767">
        <v>2023</v>
      </c>
      <c r="I6767" t="s">
        <v>6882</v>
      </c>
    </row>
    <row r="6768" spans="1:9" x14ac:dyDescent="0.3">
      <c r="A6768" t="s">
        <v>10132</v>
      </c>
      <c r="B6768" t="s">
        <v>109</v>
      </c>
      <c r="C6768">
        <v>9406582649</v>
      </c>
      <c r="D6768" s="2">
        <v>1</v>
      </c>
      <c r="E6768" t="str">
        <f>"4574674200853513"</f>
        <v>4574674200853513</v>
      </c>
      <c r="F6768" t="str">
        <f>"263"</f>
        <v>263</v>
      </c>
      <c r="G6768">
        <v>1</v>
      </c>
      <c r="H6768">
        <v>2023</v>
      </c>
      <c r="I6768" t="s">
        <v>6883</v>
      </c>
    </row>
    <row r="6769" spans="1:9" x14ac:dyDescent="0.3">
      <c r="A6769" t="s">
        <v>10132</v>
      </c>
      <c r="B6769" t="s">
        <v>109</v>
      </c>
      <c r="C6769">
        <v>9406582649</v>
      </c>
      <c r="D6769" s="2">
        <v>1</v>
      </c>
      <c r="E6769" t="str">
        <f>"4574674200853554"</f>
        <v>4574674200853554</v>
      </c>
      <c r="F6769" t="str">
        <f>"847"</f>
        <v>847</v>
      </c>
      <c r="G6769">
        <v>1</v>
      </c>
      <c r="H6769">
        <v>2023</v>
      </c>
      <c r="I6769" t="s">
        <v>6884</v>
      </c>
    </row>
    <row r="6770" spans="1:9" x14ac:dyDescent="0.3">
      <c r="A6770" t="s">
        <v>10132</v>
      </c>
      <c r="B6770" t="s">
        <v>109</v>
      </c>
      <c r="C6770">
        <v>9406582649</v>
      </c>
      <c r="D6770" s="2">
        <v>1</v>
      </c>
      <c r="E6770" t="str">
        <f>"4574674200853786"</f>
        <v>4574674200853786</v>
      </c>
      <c r="F6770" t="str">
        <f>"281"</f>
        <v>281</v>
      </c>
      <c r="G6770">
        <v>1</v>
      </c>
      <c r="H6770">
        <v>2023</v>
      </c>
      <c r="I6770" t="s">
        <v>6885</v>
      </c>
    </row>
    <row r="6771" spans="1:9" x14ac:dyDescent="0.3">
      <c r="A6771" t="s">
        <v>10132</v>
      </c>
      <c r="B6771" t="s">
        <v>109</v>
      </c>
      <c r="C6771">
        <v>9406582649</v>
      </c>
      <c r="D6771" s="2">
        <v>1</v>
      </c>
      <c r="E6771" t="str">
        <f>"4574674200854008"</f>
        <v>4574674200854008</v>
      </c>
      <c r="F6771" t="str">
        <f>"170"</f>
        <v>170</v>
      </c>
      <c r="G6771">
        <v>1</v>
      </c>
      <c r="H6771">
        <v>2023</v>
      </c>
      <c r="I6771" t="s">
        <v>6886</v>
      </c>
    </row>
    <row r="6772" spans="1:9" x14ac:dyDescent="0.3">
      <c r="A6772" t="s">
        <v>10132</v>
      </c>
      <c r="B6772" t="s">
        <v>109</v>
      </c>
      <c r="C6772">
        <v>9406582649</v>
      </c>
      <c r="D6772" s="2">
        <v>1</v>
      </c>
      <c r="E6772" t="str">
        <f>"4574674200853828"</f>
        <v>4574674200853828</v>
      </c>
      <c r="F6772" t="str">
        <f>"291"</f>
        <v>291</v>
      </c>
      <c r="G6772">
        <v>1</v>
      </c>
      <c r="H6772">
        <v>2023</v>
      </c>
      <c r="I6772" t="s">
        <v>6887</v>
      </c>
    </row>
    <row r="6773" spans="1:9" x14ac:dyDescent="0.3">
      <c r="A6773" t="s">
        <v>10132</v>
      </c>
      <c r="B6773" t="s">
        <v>109</v>
      </c>
      <c r="C6773">
        <v>9406582649</v>
      </c>
      <c r="D6773" s="2">
        <v>1</v>
      </c>
      <c r="E6773" t="str">
        <f>"4574674200854057"</f>
        <v>4574674200854057</v>
      </c>
      <c r="F6773" t="str">
        <f>"184"</f>
        <v>184</v>
      </c>
      <c r="G6773">
        <v>1</v>
      </c>
      <c r="H6773">
        <v>2023</v>
      </c>
      <c r="I6773" t="s">
        <v>6888</v>
      </c>
    </row>
    <row r="6774" spans="1:9" x14ac:dyDescent="0.3">
      <c r="A6774" t="s">
        <v>10132</v>
      </c>
      <c r="B6774" t="s">
        <v>109</v>
      </c>
      <c r="C6774">
        <v>9406582649</v>
      </c>
      <c r="D6774" s="2">
        <v>1</v>
      </c>
      <c r="E6774" t="str">
        <f>"4574674200853844"</f>
        <v>4574674200853844</v>
      </c>
      <c r="F6774" t="str">
        <f>"057"</f>
        <v>057</v>
      </c>
      <c r="G6774">
        <v>1</v>
      </c>
      <c r="H6774">
        <v>2023</v>
      </c>
      <c r="I6774" t="s">
        <v>6889</v>
      </c>
    </row>
    <row r="6775" spans="1:9" x14ac:dyDescent="0.3">
      <c r="A6775" t="s">
        <v>10132</v>
      </c>
      <c r="B6775" t="s">
        <v>109</v>
      </c>
      <c r="C6775">
        <v>9406582649</v>
      </c>
      <c r="D6775" s="2">
        <v>1</v>
      </c>
      <c r="E6775" t="str">
        <f>"4574674200853836"</f>
        <v>4574674200853836</v>
      </c>
      <c r="F6775" t="str">
        <f>"260"</f>
        <v>260</v>
      </c>
      <c r="G6775">
        <v>1</v>
      </c>
      <c r="H6775">
        <v>2023</v>
      </c>
      <c r="I6775" t="s">
        <v>6890</v>
      </c>
    </row>
    <row r="6776" spans="1:9" x14ac:dyDescent="0.3">
      <c r="A6776" t="s">
        <v>10132</v>
      </c>
      <c r="B6776" t="s">
        <v>109</v>
      </c>
      <c r="C6776">
        <v>9406582649</v>
      </c>
      <c r="D6776" s="2">
        <v>1</v>
      </c>
      <c r="E6776" t="str">
        <f>"4574674200853869"</f>
        <v>4574674200853869</v>
      </c>
      <c r="F6776" t="str">
        <f>"136"</f>
        <v>136</v>
      </c>
      <c r="G6776">
        <v>1</v>
      </c>
      <c r="H6776">
        <v>2023</v>
      </c>
      <c r="I6776" t="s">
        <v>6891</v>
      </c>
    </row>
    <row r="6777" spans="1:9" x14ac:dyDescent="0.3">
      <c r="A6777" t="s">
        <v>10132</v>
      </c>
      <c r="B6777" t="s">
        <v>109</v>
      </c>
      <c r="C6777">
        <v>9406582649</v>
      </c>
      <c r="D6777" s="2">
        <v>1</v>
      </c>
      <c r="E6777" t="str">
        <f>"4574674200854081"</f>
        <v>4574674200854081</v>
      </c>
      <c r="F6777" t="str">
        <f>"075"</f>
        <v>075</v>
      </c>
      <c r="G6777">
        <v>1</v>
      </c>
      <c r="H6777">
        <v>2023</v>
      </c>
      <c r="I6777" t="s">
        <v>6892</v>
      </c>
    </row>
    <row r="6778" spans="1:9" x14ac:dyDescent="0.3">
      <c r="A6778" t="s">
        <v>10133</v>
      </c>
      <c r="B6778" t="s">
        <v>110</v>
      </c>
      <c r="C6778">
        <v>9406980470</v>
      </c>
      <c r="D6778" s="2">
        <v>1</v>
      </c>
      <c r="E6778" t="str">
        <f>"4574674200854198"</f>
        <v>4574674200854198</v>
      </c>
      <c r="F6778" t="str">
        <f>"700"</f>
        <v>700</v>
      </c>
      <c r="G6778">
        <v>1</v>
      </c>
      <c r="H6778">
        <v>2023</v>
      </c>
      <c r="I6778" t="s">
        <v>6893</v>
      </c>
    </row>
    <row r="6779" spans="1:9" x14ac:dyDescent="0.3">
      <c r="A6779" t="s">
        <v>10133</v>
      </c>
      <c r="B6779" t="s">
        <v>110</v>
      </c>
      <c r="C6779">
        <v>9406980470</v>
      </c>
      <c r="D6779" s="2">
        <v>1</v>
      </c>
      <c r="E6779" t="str">
        <f>"4574674200854206"</f>
        <v>4574674200854206</v>
      </c>
      <c r="F6779" t="str">
        <f>"081"</f>
        <v>081</v>
      </c>
      <c r="G6779">
        <v>1</v>
      </c>
      <c r="H6779">
        <v>2023</v>
      </c>
      <c r="I6779" t="s">
        <v>6894</v>
      </c>
    </row>
    <row r="6780" spans="1:9" x14ac:dyDescent="0.3">
      <c r="A6780" t="s">
        <v>10133</v>
      </c>
      <c r="B6780" t="s">
        <v>110</v>
      </c>
      <c r="C6780">
        <v>9406980470</v>
      </c>
      <c r="D6780" s="2">
        <v>1</v>
      </c>
      <c r="E6780" t="str">
        <f>"4574674200853950"</f>
        <v>4574674200853950</v>
      </c>
      <c r="F6780" t="str">
        <f>"424"</f>
        <v>424</v>
      </c>
      <c r="G6780">
        <v>1</v>
      </c>
      <c r="H6780">
        <v>2023</v>
      </c>
      <c r="I6780" t="s">
        <v>6895</v>
      </c>
    </row>
    <row r="6781" spans="1:9" x14ac:dyDescent="0.3">
      <c r="A6781" t="s">
        <v>10133</v>
      </c>
      <c r="B6781" t="s">
        <v>110</v>
      </c>
      <c r="C6781">
        <v>9406980470</v>
      </c>
      <c r="D6781" s="2">
        <v>1</v>
      </c>
      <c r="E6781" t="str">
        <f>"4574674200853976"</f>
        <v>4574674200853976</v>
      </c>
      <c r="F6781" t="str">
        <f>"141"</f>
        <v>141</v>
      </c>
      <c r="G6781">
        <v>1</v>
      </c>
      <c r="H6781">
        <v>2023</v>
      </c>
      <c r="I6781" t="s">
        <v>6896</v>
      </c>
    </row>
    <row r="6782" spans="1:9" x14ac:dyDescent="0.3">
      <c r="A6782" t="s">
        <v>10133</v>
      </c>
      <c r="B6782" t="s">
        <v>110</v>
      </c>
      <c r="C6782">
        <v>9406980470</v>
      </c>
      <c r="D6782" s="2">
        <v>1</v>
      </c>
      <c r="E6782" t="str">
        <f>"4574674200854420"</f>
        <v>4574674200854420</v>
      </c>
      <c r="F6782" t="str">
        <f>"450"</f>
        <v>450</v>
      </c>
      <c r="G6782">
        <v>1</v>
      </c>
      <c r="H6782">
        <v>2023</v>
      </c>
      <c r="I6782" t="s">
        <v>6897</v>
      </c>
    </row>
    <row r="6783" spans="1:9" x14ac:dyDescent="0.3">
      <c r="A6783" t="s">
        <v>10133</v>
      </c>
      <c r="B6783" t="s">
        <v>110</v>
      </c>
      <c r="C6783">
        <v>9406980470</v>
      </c>
      <c r="D6783" s="2">
        <v>1</v>
      </c>
      <c r="E6783" t="str">
        <f>"4574674200854412"</f>
        <v>4574674200854412</v>
      </c>
      <c r="F6783" t="str">
        <f>"817"</f>
        <v>817</v>
      </c>
      <c r="G6783">
        <v>1</v>
      </c>
      <c r="H6783">
        <v>2023</v>
      </c>
      <c r="I6783" t="s">
        <v>6898</v>
      </c>
    </row>
    <row r="6784" spans="1:9" x14ac:dyDescent="0.3">
      <c r="A6784" t="s">
        <v>10133</v>
      </c>
      <c r="B6784" t="s">
        <v>110</v>
      </c>
      <c r="C6784">
        <v>9406980470</v>
      </c>
      <c r="D6784" s="2">
        <v>1</v>
      </c>
      <c r="E6784" t="str">
        <f>"4574674200854271"</f>
        <v>4574674200854271</v>
      </c>
      <c r="F6784" t="str">
        <f>"282"</f>
        <v>282</v>
      </c>
      <c r="G6784">
        <v>1</v>
      </c>
      <c r="H6784">
        <v>2023</v>
      </c>
      <c r="I6784" t="s">
        <v>6899</v>
      </c>
    </row>
    <row r="6785" spans="1:9" x14ac:dyDescent="0.3">
      <c r="A6785" t="s">
        <v>10133</v>
      </c>
      <c r="B6785" t="s">
        <v>110</v>
      </c>
      <c r="C6785">
        <v>9406980470</v>
      </c>
      <c r="D6785" s="2">
        <v>1</v>
      </c>
      <c r="E6785" t="str">
        <f>"4574674200854362"</f>
        <v>4574674200854362</v>
      </c>
      <c r="F6785" t="str">
        <f>"074"</f>
        <v>074</v>
      </c>
      <c r="G6785">
        <v>1</v>
      </c>
      <c r="H6785">
        <v>2023</v>
      </c>
      <c r="I6785" t="s">
        <v>6900</v>
      </c>
    </row>
    <row r="6786" spans="1:9" x14ac:dyDescent="0.3">
      <c r="A6786" t="s">
        <v>10133</v>
      </c>
      <c r="B6786" t="s">
        <v>110</v>
      </c>
      <c r="C6786">
        <v>9406980470</v>
      </c>
      <c r="D6786" s="2">
        <v>1</v>
      </c>
      <c r="E6786" t="str">
        <f>"4574674200854370"</f>
        <v>4574674200854370</v>
      </c>
      <c r="F6786" t="str">
        <f>"899"</f>
        <v>899</v>
      </c>
      <c r="G6786">
        <v>1</v>
      </c>
      <c r="H6786">
        <v>2023</v>
      </c>
      <c r="I6786" t="s">
        <v>6901</v>
      </c>
    </row>
    <row r="6787" spans="1:9" x14ac:dyDescent="0.3">
      <c r="A6787" t="s">
        <v>10133</v>
      </c>
      <c r="B6787" t="s">
        <v>110</v>
      </c>
      <c r="C6787">
        <v>9406980470</v>
      </c>
      <c r="D6787" s="2">
        <v>1</v>
      </c>
      <c r="E6787" t="str">
        <f>"4574674200854479"</f>
        <v>4574674200854479</v>
      </c>
      <c r="F6787" t="str">
        <f>"663"</f>
        <v>663</v>
      </c>
      <c r="G6787">
        <v>1</v>
      </c>
      <c r="H6787">
        <v>2023</v>
      </c>
      <c r="I6787" t="s">
        <v>6902</v>
      </c>
    </row>
    <row r="6788" spans="1:9" x14ac:dyDescent="0.3">
      <c r="A6788" t="s">
        <v>10134</v>
      </c>
      <c r="B6788" t="s">
        <v>111</v>
      </c>
      <c r="C6788">
        <v>9406980470</v>
      </c>
      <c r="D6788" s="2">
        <v>1</v>
      </c>
      <c r="E6788" t="str">
        <f>"4574674200854495"</f>
        <v>4574674200854495</v>
      </c>
      <c r="F6788" t="str">
        <f>"548"</f>
        <v>548</v>
      </c>
      <c r="G6788">
        <v>1</v>
      </c>
      <c r="H6788">
        <v>2023</v>
      </c>
      <c r="I6788" t="s">
        <v>6903</v>
      </c>
    </row>
    <row r="6789" spans="1:9" x14ac:dyDescent="0.3">
      <c r="A6789" t="s">
        <v>10134</v>
      </c>
      <c r="B6789" t="s">
        <v>111</v>
      </c>
      <c r="C6789">
        <v>9406980470</v>
      </c>
      <c r="D6789" s="2">
        <v>1</v>
      </c>
      <c r="E6789" t="str">
        <f>"4574674200854511"</f>
        <v>4574674200854511</v>
      </c>
      <c r="F6789" t="str">
        <f>"998"</f>
        <v>998</v>
      </c>
      <c r="G6789">
        <v>1</v>
      </c>
      <c r="H6789">
        <v>2023</v>
      </c>
      <c r="I6789" t="s">
        <v>6904</v>
      </c>
    </row>
    <row r="6790" spans="1:9" x14ac:dyDescent="0.3">
      <c r="A6790" t="s">
        <v>10134</v>
      </c>
      <c r="B6790" t="s">
        <v>111</v>
      </c>
      <c r="C6790">
        <v>9406980470</v>
      </c>
      <c r="D6790" s="2">
        <v>1</v>
      </c>
      <c r="E6790" t="str">
        <f>"4574674200854578"</f>
        <v>4574674200854578</v>
      </c>
      <c r="F6790" t="str">
        <f>"042"</f>
        <v>042</v>
      </c>
      <c r="G6790">
        <v>1</v>
      </c>
      <c r="H6790">
        <v>2023</v>
      </c>
      <c r="I6790" t="s">
        <v>6905</v>
      </c>
    </row>
    <row r="6791" spans="1:9" x14ac:dyDescent="0.3">
      <c r="A6791" t="s">
        <v>10134</v>
      </c>
      <c r="B6791" t="s">
        <v>111</v>
      </c>
      <c r="C6791">
        <v>9406980470</v>
      </c>
      <c r="D6791" s="2">
        <v>1</v>
      </c>
      <c r="E6791" t="str">
        <f>"4574674200854669"</f>
        <v>4574674200854669</v>
      </c>
      <c r="F6791" t="str">
        <f>"092"</f>
        <v>092</v>
      </c>
      <c r="G6791">
        <v>1</v>
      </c>
      <c r="H6791">
        <v>2023</v>
      </c>
      <c r="I6791" t="s">
        <v>6906</v>
      </c>
    </row>
    <row r="6792" spans="1:9" x14ac:dyDescent="0.3">
      <c r="A6792" t="s">
        <v>10134</v>
      </c>
      <c r="B6792" t="s">
        <v>111</v>
      </c>
      <c r="C6792">
        <v>9406980470</v>
      </c>
      <c r="D6792" s="2">
        <v>1</v>
      </c>
      <c r="E6792" t="str">
        <f>"4574674200854701"</f>
        <v>4574674200854701</v>
      </c>
      <c r="F6792" t="str">
        <f>"471"</f>
        <v>471</v>
      </c>
      <c r="G6792">
        <v>1</v>
      </c>
      <c r="H6792">
        <v>2023</v>
      </c>
      <c r="I6792" t="s">
        <v>6907</v>
      </c>
    </row>
    <row r="6793" spans="1:9" x14ac:dyDescent="0.3">
      <c r="A6793" t="s">
        <v>10134</v>
      </c>
      <c r="B6793" t="s">
        <v>111</v>
      </c>
      <c r="C6793">
        <v>9406980470</v>
      </c>
      <c r="D6793" s="2">
        <v>1</v>
      </c>
      <c r="E6793" t="str">
        <f>"4574674200854735"</f>
        <v>4574674200854735</v>
      </c>
      <c r="F6793" t="str">
        <f>"456"</f>
        <v>456</v>
      </c>
      <c r="G6793">
        <v>1</v>
      </c>
      <c r="H6793">
        <v>2023</v>
      </c>
      <c r="I6793" t="s">
        <v>6908</v>
      </c>
    </row>
    <row r="6794" spans="1:9" x14ac:dyDescent="0.3">
      <c r="A6794" t="s">
        <v>10134</v>
      </c>
      <c r="B6794" t="s">
        <v>111</v>
      </c>
      <c r="C6794">
        <v>9406980470</v>
      </c>
      <c r="D6794" s="2">
        <v>1</v>
      </c>
      <c r="E6794" t="str">
        <f>"4574674200854826"</f>
        <v>4574674200854826</v>
      </c>
      <c r="F6794" t="str">
        <f>"172"</f>
        <v>172</v>
      </c>
      <c r="G6794">
        <v>1</v>
      </c>
      <c r="H6794">
        <v>2023</v>
      </c>
      <c r="I6794" t="s">
        <v>6909</v>
      </c>
    </row>
    <row r="6795" spans="1:9" x14ac:dyDescent="0.3">
      <c r="A6795" t="s">
        <v>10134</v>
      </c>
      <c r="B6795" t="s">
        <v>111</v>
      </c>
      <c r="C6795">
        <v>9406980470</v>
      </c>
      <c r="D6795" s="2">
        <v>1</v>
      </c>
      <c r="E6795" t="str">
        <f>"4574674200854818"</f>
        <v>4574674200854818</v>
      </c>
      <c r="F6795" t="str">
        <f>"708"</f>
        <v>708</v>
      </c>
      <c r="G6795">
        <v>1</v>
      </c>
      <c r="H6795">
        <v>2023</v>
      </c>
      <c r="I6795" t="s">
        <v>6910</v>
      </c>
    </row>
    <row r="6796" spans="1:9" x14ac:dyDescent="0.3">
      <c r="A6796" t="s">
        <v>10134</v>
      </c>
      <c r="B6796" t="s">
        <v>111</v>
      </c>
      <c r="C6796">
        <v>9406980470</v>
      </c>
      <c r="D6796" s="2">
        <v>1</v>
      </c>
      <c r="E6796" t="str">
        <f>"4574674200854842"</f>
        <v>4574674200854842</v>
      </c>
      <c r="F6796" t="str">
        <f>"742"</f>
        <v>742</v>
      </c>
      <c r="G6796">
        <v>1</v>
      </c>
      <c r="H6796">
        <v>2023</v>
      </c>
      <c r="I6796" t="s">
        <v>6911</v>
      </c>
    </row>
    <row r="6797" spans="1:9" x14ac:dyDescent="0.3">
      <c r="A6797" t="s">
        <v>10134</v>
      </c>
      <c r="B6797" t="s">
        <v>111</v>
      </c>
      <c r="C6797">
        <v>9406980470</v>
      </c>
      <c r="D6797" s="2">
        <v>1</v>
      </c>
      <c r="E6797" t="str">
        <f>"4574674200854891"</f>
        <v>4574674200854891</v>
      </c>
      <c r="F6797" t="str">
        <f>"851"</f>
        <v>851</v>
      </c>
      <c r="G6797">
        <v>1</v>
      </c>
      <c r="H6797">
        <v>2023</v>
      </c>
      <c r="I6797" t="s">
        <v>6912</v>
      </c>
    </row>
    <row r="6798" spans="1:9" x14ac:dyDescent="0.3">
      <c r="A6798" t="s">
        <v>10135</v>
      </c>
      <c r="B6798" t="s">
        <v>112</v>
      </c>
      <c r="C6798">
        <v>9406980470</v>
      </c>
      <c r="D6798" s="2">
        <v>1</v>
      </c>
      <c r="E6798" t="str">
        <f>"4574674200854776"</f>
        <v>4574674200854776</v>
      </c>
      <c r="F6798" t="str">
        <f>"224"</f>
        <v>224</v>
      </c>
      <c r="G6798">
        <v>1</v>
      </c>
      <c r="H6798">
        <v>2023</v>
      </c>
      <c r="I6798" t="s">
        <v>6913</v>
      </c>
    </row>
    <row r="6799" spans="1:9" x14ac:dyDescent="0.3">
      <c r="A6799" t="s">
        <v>10135</v>
      </c>
      <c r="B6799" t="s">
        <v>112</v>
      </c>
      <c r="C6799">
        <v>9406980470</v>
      </c>
      <c r="D6799" s="2">
        <v>1</v>
      </c>
      <c r="E6799" t="str">
        <f>"4574674200854792"</f>
        <v>4574674200854792</v>
      </c>
      <c r="F6799" t="str">
        <f>"297"</f>
        <v>297</v>
      </c>
      <c r="G6799">
        <v>1</v>
      </c>
      <c r="H6799">
        <v>2023</v>
      </c>
      <c r="I6799" t="s">
        <v>6914</v>
      </c>
    </row>
    <row r="6800" spans="1:9" x14ac:dyDescent="0.3">
      <c r="A6800" t="s">
        <v>10135</v>
      </c>
      <c r="B6800" t="s">
        <v>112</v>
      </c>
      <c r="C6800">
        <v>9406980470</v>
      </c>
      <c r="D6800" s="2">
        <v>1</v>
      </c>
      <c r="E6800" t="str">
        <f>"4574674200855104"</f>
        <v>4574674200855104</v>
      </c>
      <c r="F6800" t="str">
        <f>"525"</f>
        <v>525</v>
      </c>
      <c r="G6800">
        <v>1</v>
      </c>
      <c r="H6800">
        <v>2023</v>
      </c>
      <c r="I6800" t="s">
        <v>6915</v>
      </c>
    </row>
    <row r="6801" spans="1:9" x14ac:dyDescent="0.3">
      <c r="A6801" t="s">
        <v>10135</v>
      </c>
      <c r="B6801" t="s">
        <v>112</v>
      </c>
      <c r="C6801">
        <v>9406980470</v>
      </c>
      <c r="D6801" s="2">
        <v>1</v>
      </c>
      <c r="E6801" t="str">
        <f>"4574674200854909"</f>
        <v>4574674200854909</v>
      </c>
      <c r="F6801" t="str">
        <f>"099"</f>
        <v>099</v>
      </c>
      <c r="G6801">
        <v>1</v>
      </c>
      <c r="H6801">
        <v>2023</v>
      </c>
      <c r="I6801" t="s">
        <v>6916</v>
      </c>
    </row>
    <row r="6802" spans="1:9" x14ac:dyDescent="0.3">
      <c r="A6802" t="s">
        <v>10135</v>
      </c>
      <c r="B6802" t="s">
        <v>112</v>
      </c>
      <c r="C6802">
        <v>9406980470</v>
      </c>
      <c r="D6802" s="2">
        <v>1</v>
      </c>
      <c r="E6802" t="str">
        <f>"4574674200854933"</f>
        <v>4574674200854933</v>
      </c>
      <c r="F6802" t="str">
        <f>"030"</f>
        <v>030</v>
      </c>
      <c r="G6802">
        <v>1</v>
      </c>
      <c r="H6802">
        <v>2023</v>
      </c>
      <c r="I6802" t="s">
        <v>6917</v>
      </c>
    </row>
    <row r="6803" spans="1:9" x14ac:dyDescent="0.3">
      <c r="A6803" t="s">
        <v>10135</v>
      </c>
      <c r="B6803" t="s">
        <v>112</v>
      </c>
      <c r="C6803">
        <v>9406980470</v>
      </c>
      <c r="D6803" s="2">
        <v>1</v>
      </c>
      <c r="E6803" t="str">
        <f>"4574674200854966"</f>
        <v>4574674200854966</v>
      </c>
      <c r="F6803" t="str">
        <f>"491"</f>
        <v>491</v>
      </c>
      <c r="G6803">
        <v>1</v>
      </c>
      <c r="H6803">
        <v>2023</v>
      </c>
      <c r="I6803" t="s">
        <v>6918</v>
      </c>
    </row>
    <row r="6804" spans="1:9" x14ac:dyDescent="0.3">
      <c r="A6804" t="s">
        <v>10135</v>
      </c>
      <c r="B6804" t="s">
        <v>112</v>
      </c>
      <c r="C6804">
        <v>9406980470</v>
      </c>
      <c r="D6804" s="2">
        <v>1</v>
      </c>
      <c r="E6804" t="str">
        <f>"4574674200855203"</f>
        <v>4574674200855203</v>
      </c>
      <c r="F6804" t="str">
        <f>"566"</f>
        <v>566</v>
      </c>
      <c r="G6804">
        <v>1</v>
      </c>
      <c r="H6804">
        <v>2023</v>
      </c>
      <c r="I6804" t="s">
        <v>6919</v>
      </c>
    </row>
    <row r="6805" spans="1:9" x14ac:dyDescent="0.3">
      <c r="A6805" t="s">
        <v>10135</v>
      </c>
      <c r="B6805" t="s">
        <v>112</v>
      </c>
      <c r="C6805">
        <v>9406980470</v>
      </c>
      <c r="D6805" s="2">
        <v>1</v>
      </c>
      <c r="E6805" t="str">
        <f>"4574674200855138"</f>
        <v>4574674200855138</v>
      </c>
      <c r="F6805" t="str">
        <f>"198"</f>
        <v>198</v>
      </c>
      <c r="G6805">
        <v>1</v>
      </c>
      <c r="H6805">
        <v>2023</v>
      </c>
      <c r="I6805" t="s">
        <v>6920</v>
      </c>
    </row>
    <row r="6806" spans="1:9" x14ac:dyDescent="0.3">
      <c r="A6806" t="s">
        <v>10135</v>
      </c>
      <c r="B6806" t="s">
        <v>112</v>
      </c>
      <c r="C6806">
        <v>9406980470</v>
      </c>
      <c r="D6806" s="2">
        <v>1</v>
      </c>
      <c r="E6806" t="str">
        <f>"4574674200855153"</f>
        <v>4574674200855153</v>
      </c>
      <c r="F6806" t="str">
        <f>"466"</f>
        <v>466</v>
      </c>
      <c r="G6806">
        <v>1</v>
      </c>
      <c r="H6806">
        <v>2023</v>
      </c>
      <c r="I6806" t="s">
        <v>6921</v>
      </c>
    </row>
    <row r="6807" spans="1:9" x14ac:dyDescent="0.3">
      <c r="A6807" t="s">
        <v>10135</v>
      </c>
      <c r="B6807" t="s">
        <v>112</v>
      </c>
      <c r="C6807">
        <v>9406980470</v>
      </c>
      <c r="D6807" s="2">
        <v>1</v>
      </c>
      <c r="E6807" t="str">
        <f>"4574674200855468"</f>
        <v>4574674200855468</v>
      </c>
      <c r="F6807" t="str">
        <f>"490"</f>
        <v>490</v>
      </c>
      <c r="G6807">
        <v>1</v>
      </c>
      <c r="H6807">
        <v>2023</v>
      </c>
      <c r="I6807" t="s">
        <v>6922</v>
      </c>
    </row>
    <row r="6808" spans="1:9" x14ac:dyDescent="0.3">
      <c r="A6808" t="s">
        <v>10136</v>
      </c>
      <c r="B6808" t="s">
        <v>113</v>
      </c>
      <c r="C6808">
        <v>9406980470</v>
      </c>
      <c r="D6808" s="2">
        <v>1</v>
      </c>
      <c r="E6808" t="str">
        <f>"4574674200855252"</f>
        <v>4574674200855252</v>
      </c>
      <c r="F6808" t="str">
        <f>"225"</f>
        <v>225</v>
      </c>
      <c r="G6808">
        <v>1</v>
      </c>
      <c r="H6808">
        <v>2023</v>
      </c>
      <c r="I6808" t="s">
        <v>6923</v>
      </c>
    </row>
    <row r="6809" spans="1:9" x14ac:dyDescent="0.3">
      <c r="A6809" t="s">
        <v>10136</v>
      </c>
      <c r="B6809" t="s">
        <v>113</v>
      </c>
      <c r="C6809">
        <v>9406980470</v>
      </c>
      <c r="D6809" s="2">
        <v>1</v>
      </c>
      <c r="E6809" t="str">
        <f>"4574674200855260"</f>
        <v>4574674200855260</v>
      </c>
      <c r="F6809" t="str">
        <f>"022"</f>
        <v>022</v>
      </c>
      <c r="G6809">
        <v>1</v>
      </c>
      <c r="H6809">
        <v>2023</v>
      </c>
      <c r="I6809" t="s">
        <v>6924</v>
      </c>
    </row>
    <row r="6810" spans="1:9" x14ac:dyDescent="0.3">
      <c r="A6810" t="s">
        <v>10136</v>
      </c>
      <c r="B6810" t="s">
        <v>113</v>
      </c>
      <c r="C6810">
        <v>9406980470</v>
      </c>
      <c r="D6810" s="2">
        <v>1</v>
      </c>
      <c r="E6810" t="str">
        <f>"4574674200855278"</f>
        <v>4574674200855278</v>
      </c>
      <c r="F6810" t="str">
        <f>"001"</f>
        <v>001</v>
      </c>
      <c r="G6810">
        <v>1</v>
      </c>
      <c r="H6810">
        <v>2023</v>
      </c>
      <c r="I6810" t="s">
        <v>6925</v>
      </c>
    </row>
    <row r="6811" spans="1:9" x14ac:dyDescent="0.3">
      <c r="A6811" t="s">
        <v>10136</v>
      </c>
      <c r="B6811" t="s">
        <v>113</v>
      </c>
      <c r="C6811">
        <v>9406980470</v>
      </c>
      <c r="D6811" s="2">
        <v>1</v>
      </c>
      <c r="E6811" t="str">
        <f>"4574674200855302"</f>
        <v>4574674200855302</v>
      </c>
      <c r="F6811" t="str">
        <f>"567"</f>
        <v>567</v>
      </c>
      <c r="G6811">
        <v>1</v>
      </c>
      <c r="H6811">
        <v>2023</v>
      </c>
      <c r="I6811" t="s">
        <v>6926</v>
      </c>
    </row>
    <row r="6812" spans="1:9" x14ac:dyDescent="0.3">
      <c r="A6812" t="s">
        <v>10136</v>
      </c>
      <c r="B6812" t="s">
        <v>113</v>
      </c>
      <c r="C6812">
        <v>9406980470</v>
      </c>
      <c r="D6812" s="2">
        <v>1</v>
      </c>
      <c r="E6812" t="str">
        <f>"4574674200855518"</f>
        <v>4574674200855518</v>
      </c>
      <c r="F6812" t="str">
        <f>"053"</f>
        <v>053</v>
      </c>
      <c r="G6812">
        <v>1</v>
      </c>
      <c r="H6812">
        <v>2023</v>
      </c>
      <c r="I6812" t="s">
        <v>6927</v>
      </c>
    </row>
    <row r="6813" spans="1:9" x14ac:dyDescent="0.3">
      <c r="A6813" t="s">
        <v>10136</v>
      </c>
      <c r="B6813" t="s">
        <v>113</v>
      </c>
      <c r="C6813">
        <v>9406980470</v>
      </c>
      <c r="D6813" s="2">
        <v>1</v>
      </c>
      <c r="E6813" t="str">
        <f>"4574674200855500"</f>
        <v>4574674200855500</v>
      </c>
      <c r="F6813" t="str">
        <f>"242"</f>
        <v>242</v>
      </c>
      <c r="G6813">
        <v>1</v>
      </c>
      <c r="H6813">
        <v>2023</v>
      </c>
      <c r="I6813" t="s">
        <v>6928</v>
      </c>
    </row>
    <row r="6814" spans="1:9" x14ac:dyDescent="0.3">
      <c r="A6814" t="s">
        <v>10136</v>
      </c>
      <c r="B6814" t="s">
        <v>113</v>
      </c>
      <c r="C6814">
        <v>9406980470</v>
      </c>
      <c r="D6814" s="2">
        <v>1</v>
      </c>
      <c r="E6814" t="str">
        <f>"4574674200855591"</f>
        <v>4574674200855591</v>
      </c>
      <c r="F6814" t="str">
        <f>"154"</f>
        <v>154</v>
      </c>
      <c r="G6814">
        <v>1</v>
      </c>
      <c r="H6814">
        <v>2023</v>
      </c>
      <c r="I6814" t="s">
        <v>6929</v>
      </c>
    </row>
    <row r="6815" spans="1:9" x14ac:dyDescent="0.3">
      <c r="A6815" t="s">
        <v>10136</v>
      </c>
      <c r="B6815" t="s">
        <v>113</v>
      </c>
      <c r="C6815">
        <v>9406980470</v>
      </c>
      <c r="D6815" s="2">
        <v>1</v>
      </c>
      <c r="E6815" t="str">
        <f>"4574674200855344"</f>
        <v>4574674200855344</v>
      </c>
      <c r="F6815" t="str">
        <f>"174"</f>
        <v>174</v>
      </c>
      <c r="G6815">
        <v>1</v>
      </c>
      <c r="H6815">
        <v>2023</v>
      </c>
      <c r="I6815" t="s">
        <v>6930</v>
      </c>
    </row>
    <row r="6816" spans="1:9" x14ac:dyDescent="0.3">
      <c r="A6816" t="s">
        <v>10136</v>
      </c>
      <c r="B6816" t="s">
        <v>113</v>
      </c>
      <c r="C6816">
        <v>9406980470</v>
      </c>
      <c r="D6816" s="2">
        <v>1</v>
      </c>
      <c r="E6816" t="str">
        <f>"4574674200855351"</f>
        <v>4574674200855351</v>
      </c>
      <c r="F6816" t="str">
        <f>"481"</f>
        <v>481</v>
      </c>
      <c r="G6816">
        <v>1</v>
      </c>
      <c r="H6816">
        <v>2023</v>
      </c>
      <c r="I6816" t="s">
        <v>6931</v>
      </c>
    </row>
    <row r="6817" spans="1:9" x14ac:dyDescent="0.3">
      <c r="A6817" t="s">
        <v>10136</v>
      </c>
      <c r="B6817" t="s">
        <v>113</v>
      </c>
      <c r="C6817">
        <v>9406980470</v>
      </c>
      <c r="D6817" s="2">
        <v>1</v>
      </c>
      <c r="E6817" t="str">
        <f>"4574674200855377"</f>
        <v>4574674200855377</v>
      </c>
      <c r="F6817" t="str">
        <f>"831"</f>
        <v>831</v>
      </c>
      <c r="G6817">
        <v>1</v>
      </c>
      <c r="H6817">
        <v>2023</v>
      </c>
      <c r="I6817" t="s">
        <v>6932</v>
      </c>
    </row>
    <row r="6818" spans="1:9" x14ac:dyDescent="0.3">
      <c r="A6818" t="s">
        <v>10137</v>
      </c>
      <c r="B6818" t="s">
        <v>114</v>
      </c>
      <c r="C6818">
        <v>9406980470</v>
      </c>
      <c r="D6818" s="2">
        <v>1</v>
      </c>
      <c r="E6818" t="str">
        <f>"4574674200855815"</f>
        <v>4574674200855815</v>
      </c>
      <c r="F6818" t="str">
        <f>"680"</f>
        <v>680</v>
      </c>
      <c r="G6818">
        <v>1</v>
      </c>
      <c r="H6818">
        <v>2023</v>
      </c>
      <c r="I6818" t="s">
        <v>6933</v>
      </c>
    </row>
    <row r="6819" spans="1:9" x14ac:dyDescent="0.3">
      <c r="A6819" t="s">
        <v>10137</v>
      </c>
      <c r="B6819" t="s">
        <v>114</v>
      </c>
      <c r="C6819">
        <v>9406980470</v>
      </c>
      <c r="D6819" s="2">
        <v>1</v>
      </c>
      <c r="E6819" t="str">
        <f>"4574674200855682"</f>
        <v>4574674200855682</v>
      </c>
      <c r="F6819" t="str">
        <f>"342"</f>
        <v>342</v>
      </c>
      <c r="G6819">
        <v>1</v>
      </c>
      <c r="H6819">
        <v>2023</v>
      </c>
      <c r="I6819" t="s">
        <v>6934</v>
      </c>
    </row>
    <row r="6820" spans="1:9" x14ac:dyDescent="0.3">
      <c r="A6820" t="s">
        <v>10137</v>
      </c>
      <c r="B6820" t="s">
        <v>114</v>
      </c>
      <c r="C6820">
        <v>9406980470</v>
      </c>
      <c r="D6820" s="2">
        <v>1</v>
      </c>
      <c r="E6820" t="str">
        <f>"4574674200855716"</f>
        <v>4574674200855716</v>
      </c>
      <c r="F6820" t="str">
        <f>"701"</f>
        <v>701</v>
      </c>
      <c r="G6820">
        <v>1</v>
      </c>
      <c r="H6820">
        <v>2023</v>
      </c>
      <c r="I6820" t="s">
        <v>6935</v>
      </c>
    </row>
    <row r="6821" spans="1:9" x14ac:dyDescent="0.3">
      <c r="A6821" t="s">
        <v>10137</v>
      </c>
      <c r="B6821" t="s">
        <v>114</v>
      </c>
      <c r="C6821">
        <v>9406980470</v>
      </c>
      <c r="D6821" s="2">
        <v>1</v>
      </c>
      <c r="E6821" t="str">
        <f>"4574674200855856"</f>
        <v>4574674200855856</v>
      </c>
      <c r="F6821" t="str">
        <f>"949"</f>
        <v>949</v>
      </c>
      <c r="G6821">
        <v>1</v>
      </c>
      <c r="H6821">
        <v>2023</v>
      </c>
      <c r="I6821" t="s">
        <v>6936</v>
      </c>
    </row>
    <row r="6822" spans="1:9" x14ac:dyDescent="0.3">
      <c r="A6822" t="s">
        <v>10137</v>
      </c>
      <c r="B6822" t="s">
        <v>114</v>
      </c>
      <c r="C6822">
        <v>9406980470</v>
      </c>
      <c r="D6822" s="2">
        <v>1</v>
      </c>
      <c r="E6822" t="str">
        <f>"4574674200855864"</f>
        <v>4574674200855864</v>
      </c>
      <c r="F6822" t="str">
        <f>"345"</f>
        <v>345</v>
      </c>
      <c r="G6822">
        <v>1</v>
      </c>
      <c r="H6822">
        <v>2023</v>
      </c>
      <c r="I6822" t="s">
        <v>6937</v>
      </c>
    </row>
    <row r="6823" spans="1:9" x14ac:dyDescent="0.3">
      <c r="A6823" t="s">
        <v>10137</v>
      </c>
      <c r="B6823" t="s">
        <v>114</v>
      </c>
      <c r="C6823">
        <v>9406980470</v>
      </c>
      <c r="D6823" s="2">
        <v>1</v>
      </c>
      <c r="E6823" t="str">
        <f>"4574674200855914"</f>
        <v>4574674200855914</v>
      </c>
      <c r="F6823" t="str">
        <f>"838"</f>
        <v>838</v>
      </c>
      <c r="G6823">
        <v>1</v>
      </c>
      <c r="H6823">
        <v>2023</v>
      </c>
      <c r="I6823" t="s">
        <v>6938</v>
      </c>
    </row>
    <row r="6824" spans="1:9" x14ac:dyDescent="0.3">
      <c r="A6824" t="s">
        <v>10137</v>
      </c>
      <c r="B6824" t="s">
        <v>114</v>
      </c>
      <c r="C6824">
        <v>9406980470</v>
      </c>
      <c r="D6824" s="2">
        <v>1</v>
      </c>
      <c r="E6824" t="str">
        <f>"4574674200855922"</f>
        <v>4574674200855922</v>
      </c>
      <c r="F6824" t="str">
        <f>"635"</f>
        <v>635</v>
      </c>
      <c r="G6824">
        <v>1</v>
      </c>
      <c r="H6824">
        <v>2023</v>
      </c>
      <c r="I6824" t="s">
        <v>6939</v>
      </c>
    </row>
    <row r="6825" spans="1:9" x14ac:dyDescent="0.3">
      <c r="A6825" t="s">
        <v>10137</v>
      </c>
      <c r="B6825" t="s">
        <v>114</v>
      </c>
      <c r="C6825">
        <v>9406980470</v>
      </c>
      <c r="D6825" s="2">
        <v>1</v>
      </c>
      <c r="E6825" t="str">
        <f>"4574674200856011"</f>
        <v>4574674200856011</v>
      </c>
      <c r="F6825" t="str">
        <f>"404"</f>
        <v>404</v>
      </c>
      <c r="G6825">
        <v>1</v>
      </c>
      <c r="H6825">
        <v>2023</v>
      </c>
      <c r="I6825" t="s">
        <v>6940</v>
      </c>
    </row>
    <row r="6826" spans="1:9" x14ac:dyDescent="0.3">
      <c r="A6826" t="s">
        <v>10137</v>
      </c>
      <c r="B6826" t="s">
        <v>114</v>
      </c>
      <c r="C6826">
        <v>9406980470</v>
      </c>
      <c r="D6826" s="2">
        <v>1</v>
      </c>
      <c r="E6826" t="str">
        <f>"4574674200856086"</f>
        <v>4574674200856086</v>
      </c>
      <c r="F6826" t="str">
        <f>"292"</f>
        <v>292</v>
      </c>
      <c r="G6826">
        <v>1</v>
      </c>
      <c r="H6826">
        <v>2023</v>
      </c>
      <c r="I6826" t="s">
        <v>6941</v>
      </c>
    </row>
    <row r="6827" spans="1:9" x14ac:dyDescent="0.3">
      <c r="A6827" t="s">
        <v>10137</v>
      </c>
      <c r="B6827" t="s">
        <v>114</v>
      </c>
      <c r="C6827">
        <v>9406980470</v>
      </c>
      <c r="D6827" s="2">
        <v>1</v>
      </c>
      <c r="E6827" t="str">
        <f>"4574674200856136"</f>
        <v>4574674200856136</v>
      </c>
      <c r="F6827" t="str">
        <f>"772"</f>
        <v>772</v>
      </c>
      <c r="G6827">
        <v>1</v>
      </c>
      <c r="H6827">
        <v>2023</v>
      </c>
      <c r="I6827" t="s">
        <v>6942</v>
      </c>
    </row>
    <row r="6828" spans="1:9" x14ac:dyDescent="0.3">
      <c r="A6828" t="s">
        <v>10138</v>
      </c>
      <c r="B6828" t="s">
        <v>115</v>
      </c>
      <c r="C6828">
        <v>9406980470</v>
      </c>
      <c r="D6828" s="2">
        <v>1</v>
      </c>
      <c r="E6828" t="str">
        <f>"4574674200855989"</f>
        <v>4574674200855989</v>
      </c>
      <c r="F6828" t="str">
        <f>"449"</f>
        <v>449</v>
      </c>
      <c r="G6828">
        <v>1</v>
      </c>
      <c r="H6828">
        <v>2023</v>
      </c>
      <c r="I6828" t="s">
        <v>6943</v>
      </c>
    </row>
    <row r="6829" spans="1:9" x14ac:dyDescent="0.3">
      <c r="A6829" t="s">
        <v>10138</v>
      </c>
      <c r="B6829" t="s">
        <v>115</v>
      </c>
      <c r="C6829">
        <v>9406980470</v>
      </c>
      <c r="D6829" s="2">
        <v>1</v>
      </c>
      <c r="E6829" t="str">
        <f>"4574674200856201"</f>
        <v>4574674200856201</v>
      </c>
      <c r="F6829" t="str">
        <f>"346"</f>
        <v>346</v>
      </c>
      <c r="G6829">
        <v>1</v>
      </c>
      <c r="H6829">
        <v>2023</v>
      </c>
      <c r="I6829" t="s">
        <v>6944</v>
      </c>
    </row>
    <row r="6830" spans="1:9" x14ac:dyDescent="0.3">
      <c r="A6830" t="s">
        <v>10138</v>
      </c>
      <c r="B6830" t="s">
        <v>115</v>
      </c>
      <c r="C6830">
        <v>9406980470</v>
      </c>
      <c r="D6830" s="2">
        <v>1</v>
      </c>
      <c r="E6830" t="str">
        <f>"4574674200856219"</f>
        <v>4574674200856219</v>
      </c>
      <c r="F6830" t="str">
        <f>"330"</f>
        <v>330</v>
      </c>
      <c r="G6830">
        <v>1</v>
      </c>
      <c r="H6830">
        <v>2023</v>
      </c>
      <c r="I6830" t="s">
        <v>6945</v>
      </c>
    </row>
    <row r="6831" spans="1:9" x14ac:dyDescent="0.3">
      <c r="A6831" t="s">
        <v>10138</v>
      </c>
      <c r="B6831" t="s">
        <v>115</v>
      </c>
      <c r="C6831">
        <v>9406980470</v>
      </c>
      <c r="D6831" s="2">
        <v>1</v>
      </c>
      <c r="E6831" t="str">
        <f>"4574674200856235"</f>
        <v>4574674200856235</v>
      </c>
      <c r="F6831" t="str">
        <f>"688"</f>
        <v>688</v>
      </c>
      <c r="G6831">
        <v>1</v>
      </c>
      <c r="H6831">
        <v>2023</v>
      </c>
      <c r="I6831" t="s">
        <v>6946</v>
      </c>
    </row>
    <row r="6832" spans="1:9" x14ac:dyDescent="0.3">
      <c r="A6832" t="s">
        <v>10138</v>
      </c>
      <c r="B6832" t="s">
        <v>115</v>
      </c>
      <c r="C6832">
        <v>9406980470</v>
      </c>
      <c r="D6832" s="2">
        <v>1</v>
      </c>
      <c r="E6832" t="str">
        <f>"4574674200856441"</f>
        <v>4574674200856441</v>
      </c>
      <c r="F6832" t="str">
        <f>"958"</f>
        <v>958</v>
      </c>
      <c r="G6832">
        <v>1</v>
      </c>
      <c r="H6832">
        <v>2023</v>
      </c>
      <c r="I6832" t="s">
        <v>6947</v>
      </c>
    </row>
    <row r="6833" spans="1:9" x14ac:dyDescent="0.3">
      <c r="A6833" t="s">
        <v>10138</v>
      </c>
      <c r="B6833" t="s">
        <v>115</v>
      </c>
      <c r="C6833">
        <v>9406980470</v>
      </c>
      <c r="D6833" s="2">
        <v>1</v>
      </c>
      <c r="E6833" t="str">
        <f>"4574674200856433"</f>
        <v>4574674200856433</v>
      </c>
      <c r="F6833" t="str">
        <f>"137"</f>
        <v>137</v>
      </c>
      <c r="G6833">
        <v>1</v>
      </c>
      <c r="H6833">
        <v>2023</v>
      </c>
      <c r="I6833" t="s">
        <v>6948</v>
      </c>
    </row>
    <row r="6834" spans="1:9" x14ac:dyDescent="0.3">
      <c r="A6834" t="s">
        <v>10138</v>
      </c>
      <c r="B6834" t="s">
        <v>115</v>
      </c>
      <c r="C6834">
        <v>9406980470</v>
      </c>
      <c r="D6834" s="2">
        <v>1</v>
      </c>
      <c r="E6834" t="str">
        <f>"4574674200856284"</f>
        <v>4574674200856284</v>
      </c>
      <c r="F6834" t="str">
        <f>"570"</f>
        <v>570</v>
      </c>
      <c r="G6834">
        <v>1</v>
      </c>
      <c r="H6834">
        <v>2023</v>
      </c>
      <c r="I6834" t="s">
        <v>6949</v>
      </c>
    </row>
    <row r="6835" spans="1:9" x14ac:dyDescent="0.3">
      <c r="A6835" t="s">
        <v>10138</v>
      </c>
      <c r="B6835" t="s">
        <v>115</v>
      </c>
      <c r="C6835">
        <v>9406980470</v>
      </c>
      <c r="D6835" s="2">
        <v>1</v>
      </c>
      <c r="E6835" t="str">
        <f>"4574674200856359"</f>
        <v>4574674200856359</v>
      </c>
      <c r="F6835" t="str">
        <f>"000"</f>
        <v>000</v>
      </c>
      <c r="G6835">
        <v>1</v>
      </c>
      <c r="H6835">
        <v>2023</v>
      </c>
      <c r="I6835" t="s">
        <v>6950</v>
      </c>
    </row>
    <row r="6836" spans="1:9" x14ac:dyDescent="0.3">
      <c r="A6836" t="s">
        <v>10138</v>
      </c>
      <c r="B6836" t="s">
        <v>115</v>
      </c>
      <c r="C6836">
        <v>9406980470</v>
      </c>
      <c r="D6836" s="2">
        <v>1</v>
      </c>
      <c r="E6836" t="str">
        <f>"4574674200856508"</f>
        <v>4574674200856508</v>
      </c>
      <c r="F6836" t="str">
        <f>"047"</f>
        <v>047</v>
      </c>
      <c r="G6836">
        <v>1</v>
      </c>
      <c r="H6836">
        <v>2023</v>
      </c>
      <c r="I6836" t="s">
        <v>6951</v>
      </c>
    </row>
    <row r="6837" spans="1:9" x14ac:dyDescent="0.3">
      <c r="A6837" t="s">
        <v>10138</v>
      </c>
      <c r="B6837" t="s">
        <v>115</v>
      </c>
      <c r="C6837">
        <v>9406980470</v>
      </c>
      <c r="D6837" s="2">
        <v>1</v>
      </c>
      <c r="E6837" t="str">
        <f>"4574674200856342"</f>
        <v>4574674200856342</v>
      </c>
      <c r="F6837" t="str">
        <f>"974"</f>
        <v>974</v>
      </c>
      <c r="G6837">
        <v>1</v>
      </c>
      <c r="H6837">
        <v>2023</v>
      </c>
      <c r="I6837" t="s">
        <v>6952</v>
      </c>
    </row>
    <row r="6838" spans="1:9" x14ac:dyDescent="0.3">
      <c r="A6838" t="s">
        <v>10139</v>
      </c>
      <c r="B6838" t="s">
        <v>116</v>
      </c>
      <c r="C6838">
        <v>9406980470</v>
      </c>
      <c r="D6838" s="2">
        <v>1</v>
      </c>
      <c r="E6838" t="str">
        <f>"4574674200856367"</f>
        <v>4574674200856367</v>
      </c>
      <c r="F6838" t="str">
        <f>"190"</f>
        <v>190</v>
      </c>
      <c r="G6838">
        <v>1</v>
      </c>
      <c r="H6838">
        <v>2023</v>
      </c>
      <c r="I6838" t="s">
        <v>6953</v>
      </c>
    </row>
    <row r="6839" spans="1:9" x14ac:dyDescent="0.3">
      <c r="A6839" t="s">
        <v>10139</v>
      </c>
      <c r="B6839" t="s">
        <v>116</v>
      </c>
      <c r="C6839">
        <v>9406980470</v>
      </c>
      <c r="D6839" s="2">
        <v>1</v>
      </c>
      <c r="E6839" t="str">
        <f>"4574674200856649"</f>
        <v>4574674200856649</v>
      </c>
      <c r="F6839" t="str">
        <f>"002"</f>
        <v>002</v>
      </c>
      <c r="G6839">
        <v>1</v>
      </c>
      <c r="H6839">
        <v>2023</v>
      </c>
      <c r="I6839" t="s">
        <v>6954</v>
      </c>
    </row>
    <row r="6840" spans="1:9" x14ac:dyDescent="0.3">
      <c r="A6840" t="s">
        <v>10139</v>
      </c>
      <c r="B6840" t="s">
        <v>116</v>
      </c>
      <c r="C6840">
        <v>9406980470</v>
      </c>
      <c r="D6840" s="2">
        <v>1</v>
      </c>
      <c r="E6840" t="str">
        <f>"4574674200856631"</f>
        <v>4574674200856631</v>
      </c>
      <c r="F6840" t="str">
        <f>"945"</f>
        <v>945</v>
      </c>
      <c r="G6840">
        <v>1</v>
      </c>
      <c r="H6840">
        <v>2023</v>
      </c>
      <c r="I6840" t="s">
        <v>6955</v>
      </c>
    </row>
    <row r="6841" spans="1:9" x14ac:dyDescent="0.3">
      <c r="A6841" t="s">
        <v>10139</v>
      </c>
      <c r="B6841" t="s">
        <v>116</v>
      </c>
      <c r="C6841">
        <v>9406980470</v>
      </c>
      <c r="D6841" s="2">
        <v>1</v>
      </c>
      <c r="E6841" t="str">
        <f>"4574674200856813"</f>
        <v>4574674200856813</v>
      </c>
      <c r="F6841" t="str">
        <f>"166"</f>
        <v>166</v>
      </c>
      <c r="G6841">
        <v>1</v>
      </c>
      <c r="H6841">
        <v>2023</v>
      </c>
      <c r="I6841" t="s">
        <v>6956</v>
      </c>
    </row>
    <row r="6842" spans="1:9" x14ac:dyDescent="0.3">
      <c r="A6842" t="s">
        <v>10139</v>
      </c>
      <c r="B6842" t="s">
        <v>116</v>
      </c>
      <c r="C6842">
        <v>9406980470</v>
      </c>
      <c r="D6842" s="2">
        <v>1</v>
      </c>
      <c r="E6842" t="str">
        <f>"4574674200856888"</f>
        <v>4574674200856888</v>
      </c>
      <c r="F6842" t="str">
        <f>"985"</f>
        <v>985</v>
      </c>
      <c r="G6842">
        <v>1</v>
      </c>
      <c r="H6842">
        <v>2023</v>
      </c>
      <c r="I6842" t="s">
        <v>6957</v>
      </c>
    </row>
    <row r="6843" spans="1:9" x14ac:dyDescent="0.3">
      <c r="A6843" t="s">
        <v>10139</v>
      </c>
      <c r="B6843" t="s">
        <v>116</v>
      </c>
      <c r="C6843">
        <v>9406980470</v>
      </c>
      <c r="D6843" s="2">
        <v>1</v>
      </c>
      <c r="E6843" t="str">
        <f>"4574674200856862"</f>
        <v>4574674200856862</v>
      </c>
      <c r="F6843" t="str">
        <f>"569"</f>
        <v>569</v>
      </c>
      <c r="G6843">
        <v>1</v>
      </c>
      <c r="H6843">
        <v>2023</v>
      </c>
      <c r="I6843" t="s">
        <v>6958</v>
      </c>
    </row>
    <row r="6844" spans="1:9" x14ac:dyDescent="0.3">
      <c r="A6844" t="s">
        <v>10139</v>
      </c>
      <c r="B6844" t="s">
        <v>116</v>
      </c>
      <c r="C6844">
        <v>9406980470</v>
      </c>
      <c r="D6844" s="2">
        <v>1</v>
      </c>
      <c r="E6844" t="str">
        <f>"4574674200856896"</f>
        <v>4574674200856896</v>
      </c>
      <c r="F6844" t="str">
        <f>"146"</f>
        <v>146</v>
      </c>
      <c r="G6844">
        <v>1</v>
      </c>
      <c r="H6844">
        <v>2023</v>
      </c>
      <c r="I6844" t="s">
        <v>6959</v>
      </c>
    </row>
    <row r="6845" spans="1:9" x14ac:dyDescent="0.3">
      <c r="A6845" t="s">
        <v>10139</v>
      </c>
      <c r="B6845" t="s">
        <v>116</v>
      </c>
      <c r="C6845">
        <v>9406980470</v>
      </c>
      <c r="D6845" s="2">
        <v>1</v>
      </c>
      <c r="E6845" t="str">
        <f>"4574674200856664"</f>
        <v>4574674200856664</v>
      </c>
      <c r="F6845" t="str">
        <f>"797"</f>
        <v>797</v>
      </c>
      <c r="G6845">
        <v>1</v>
      </c>
      <c r="H6845">
        <v>2023</v>
      </c>
      <c r="I6845" t="s">
        <v>6960</v>
      </c>
    </row>
    <row r="6846" spans="1:9" x14ac:dyDescent="0.3">
      <c r="A6846" t="s">
        <v>10139</v>
      </c>
      <c r="B6846" t="s">
        <v>116</v>
      </c>
      <c r="C6846">
        <v>9406980470</v>
      </c>
      <c r="D6846" s="2">
        <v>1</v>
      </c>
      <c r="E6846" t="str">
        <f>"4574674200856722"</f>
        <v>4574674200856722</v>
      </c>
      <c r="F6846" t="str">
        <f>"464"</f>
        <v>464</v>
      </c>
      <c r="G6846">
        <v>1</v>
      </c>
      <c r="H6846">
        <v>2023</v>
      </c>
      <c r="I6846" t="s">
        <v>6961</v>
      </c>
    </row>
    <row r="6847" spans="1:9" x14ac:dyDescent="0.3">
      <c r="A6847" t="s">
        <v>10117</v>
      </c>
      <c r="B6847" t="s">
        <v>9</v>
      </c>
      <c r="C6847">
        <v>7648876604</v>
      </c>
      <c r="D6847" s="2">
        <v>1</v>
      </c>
      <c r="E6847" t="str">
        <f>"4574674200856771"</f>
        <v>4574674200856771</v>
      </c>
      <c r="F6847" t="str">
        <f>"131"</f>
        <v>131</v>
      </c>
      <c r="G6847">
        <v>1</v>
      </c>
      <c r="H6847">
        <v>2023</v>
      </c>
      <c r="I6847" t="s">
        <v>6962</v>
      </c>
    </row>
    <row r="6848" spans="1:9" x14ac:dyDescent="0.3">
      <c r="A6848" t="s">
        <v>10117</v>
      </c>
      <c r="B6848" t="s">
        <v>9</v>
      </c>
      <c r="C6848">
        <v>7648876604</v>
      </c>
      <c r="D6848" s="2">
        <v>1</v>
      </c>
      <c r="E6848" t="str">
        <f>"4574674200857027"</f>
        <v>4574674200857027</v>
      </c>
      <c r="F6848" t="str">
        <f>"964"</f>
        <v>964</v>
      </c>
      <c r="G6848">
        <v>1</v>
      </c>
      <c r="H6848">
        <v>2023</v>
      </c>
      <c r="I6848" t="s">
        <v>6963</v>
      </c>
    </row>
    <row r="6849" spans="1:9" x14ac:dyDescent="0.3">
      <c r="A6849" t="s">
        <v>10117</v>
      </c>
      <c r="B6849" t="s">
        <v>9</v>
      </c>
      <c r="C6849">
        <v>7648876604</v>
      </c>
      <c r="D6849" s="2">
        <v>1</v>
      </c>
      <c r="E6849" t="str">
        <f>"4574674200857076"</f>
        <v>4574674200857076</v>
      </c>
      <c r="F6849" t="str">
        <f>"015"</f>
        <v>015</v>
      </c>
      <c r="G6849">
        <v>1</v>
      </c>
      <c r="H6849">
        <v>2023</v>
      </c>
      <c r="I6849" t="s">
        <v>6964</v>
      </c>
    </row>
    <row r="6850" spans="1:9" x14ac:dyDescent="0.3">
      <c r="A6850" t="s">
        <v>10117</v>
      </c>
      <c r="B6850" t="s">
        <v>9</v>
      </c>
      <c r="C6850">
        <v>7648876604</v>
      </c>
      <c r="D6850" s="2">
        <v>1</v>
      </c>
      <c r="E6850" t="str">
        <f>"4574674200857126"</f>
        <v>4574674200857126</v>
      </c>
      <c r="F6850" t="str">
        <f>"670"</f>
        <v>670</v>
      </c>
      <c r="G6850">
        <v>1</v>
      </c>
      <c r="H6850">
        <v>2023</v>
      </c>
      <c r="I6850" t="s">
        <v>6965</v>
      </c>
    </row>
    <row r="6851" spans="1:9" x14ac:dyDescent="0.3">
      <c r="A6851" t="s">
        <v>10117</v>
      </c>
      <c r="B6851" t="s">
        <v>9</v>
      </c>
      <c r="C6851">
        <v>7648876604</v>
      </c>
      <c r="D6851" s="2">
        <v>1</v>
      </c>
      <c r="E6851" t="str">
        <f>"4574674200856912"</f>
        <v>4574674200856912</v>
      </c>
      <c r="F6851" t="str">
        <f>"719"</f>
        <v>719</v>
      </c>
      <c r="G6851">
        <v>1</v>
      </c>
      <c r="H6851">
        <v>2023</v>
      </c>
      <c r="I6851" t="s">
        <v>6966</v>
      </c>
    </row>
    <row r="6852" spans="1:9" x14ac:dyDescent="0.3">
      <c r="A6852" t="s">
        <v>10117</v>
      </c>
      <c r="B6852" t="s">
        <v>9</v>
      </c>
      <c r="C6852">
        <v>7648876604</v>
      </c>
      <c r="D6852" s="2">
        <v>1</v>
      </c>
      <c r="E6852" t="str">
        <f>"4574674200857159"</f>
        <v>4574674200857159</v>
      </c>
      <c r="F6852" t="str">
        <f>"456"</f>
        <v>456</v>
      </c>
      <c r="G6852">
        <v>1</v>
      </c>
      <c r="H6852">
        <v>2023</v>
      </c>
      <c r="I6852" t="s">
        <v>6967</v>
      </c>
    </row>
    <row r="6853" spans="1:9" x14ac:dyDescent="0.3">
      <c r="A6853" t="s">
        <v>10117</v>
      </c>
      <c r="B6853" t="s">
        <v>9</v>
      </c>
      <c r="C6853">
        <v>7648876604</v>
      </c>
      <c r="D6853" s="2">
        <v>1</v>
      </c>
      <c r="E6853" t="str">
        <f>"4574674200856938"</f>
        <v>4574674200856938</v>
      </c>
      <c r="F6853" t="str">
        <f>"498"</f>
        <v>498</v>
      </c>
      <c r="G6853">
        <v>1</v>
      </c>
      <c r="H6853">
        <v>2023</v>
      </c>
      <c r="I6853" t="s">
        <v>6968</v>
      </c>
    </row>
    <row r="6854" spans="1:9" x14ac:dyDescent="0.3">
      <c r="A6854" t="s">
        <v>10117</v>
      </c>
      <c r="B6854" t="s">
        <v>9</v>
      </c>
      <c r="C6854">
        <v>7648876604</v>
      </c>
      <c r="D6854" s="2">
        <v>1</v>
      </c>
      <c r="E6854" t="str">
        <f>"4574674200857209"</f>
        <v>4574674200857209</v>
      </c>
      <c r="F6854" t="str">
        <f>"824"</f>
        <v>824</v>
      </c>
      <c r="G6854">
        <v>1</v>
      </c>
      <c r="H6854">
        <v>2023</v>
      </c>
      <c r="I6854" t="s">
        <v>6969</v>
      </c>
    </row>
    <row r="6855" spans="1:9" x14ac:dyDescent="0.3">
      <c r="A6855" t="s">
        <v>10117</v>
      </c>
      <c r="B6855" t="s">
        <v>9</v>
      </c>
      <c r="C6855">
        <v>7648876604</v>
      </c>
      <c r="D6855" s="2">
        <v>1</v>
      </c>
      <c r="E6855" t="str">
        <f>"4574674200857290"</f>
        <v>4574674200857290</v>
      </c>
      <c r="F6855" t="str">
        <f>"913"</f>
        <v>913</v>
      </c>
      <c r="G6855">
        <v>1</v>
      </c>
      <c r="H6855">
        <v>2023</v>
      </c>
      <c r="I6855" t="s">
        <v>6970</v>
      </c>
    </row>
    <row r="6856" spans="1:9" x14ac:dyDescent="0.3">
      <c r="A6856" t="s">
        <v>10117</v>
      </c>
      <c r="B6856" t="s">
        <v>9</v>
      </c>
      <c r="C6856">
        <v>7648876604</v>
      </c>
      <c r="D6856" s="2">
        <v>1</v>
      </c>
      <c r="E6856" t="str">
        <f>"4574674200857316"</f>
        <v>4574674200857316</v>
      </c>
      <c r="F6856" t="str">
        <f>"260"</f>
        <v>260</v>
      </c>
      <c r="G6856">
        <v>1</v>
      </c>
      <c r="H6856">
        <v>2023</v>
      </c>
      <c r="I6856" t="s">
        <v>6971</v>
      </c>
    </row>
    <row r="6857" spans="1:9" x14ac:dyDescent="0.3">
      <c r="A6857" t="s">
        <v>10118</v>
      </c>
      <c r="B6857" t="s">
        <v>10</v>
      </c>
      <c r="C6857">
        <v>7648876604</v>
      </c>
      <c r="D6857" s="2">
        <v>1</v>
      </c>
      <c r="E6857" t="str">
        <f>"4574674200857431"</f>
        <v>4574674200857431</v>
      </c>
      <c r="F6857" t="str">
        <f>"970"</f>
        <v>970</v>
      </c>
      <c r="G6857">
        <v>1</v>
      </c>
      <c r="H6857">
        <v>2023</v>
      </c>
      <c r="I6857" t="s">
        <v>6972</v>
      </c>
    </row>
    <row r="6858" spans="1:9" x14ac:dyDescent="0.3">
      <c r="A6858" t="s">
        <v>10118</v>
      </c>
      <c r="B6858" t="s">
        <v>10</v>
      </c>
      <c r="C6858">
        <v>7648876604</v>
      </c>
      <c r="D6858" s="2">
        <v>1</v>
      </c>
      <c r="E6858" t="str">
        <f>"4574674200857340"</f>
        <v>4574674200857340</v>
      </c>
      <c r="F6858" t="str">
        <f>"699"</f>
        <v>699</v>
      </c>
      <c r="G6858">
        <v>1</v>
      </c>
      <c r="H6858">
        <v>2023</v>
      </c>
      <c r="I6858" t="s">
        <v>6973</v>
      </c>
    </row>
    <row r="6859" spans="1:9" x14ac:dyDescent="0.3">
      <c r="A6859" t="s">
        <v>10118</v>
      </c>
      <c r="B6859" t="s">
        <v>10</v>
      </c>
      <c r="C6859">
        <v>7648876604</v>
      </c>
      <c r="D6859" s="2">
        <v>1</v>
      </c>
      <c r="E6859" t="str">
        <f>"4574674200857464"</f>
        <v>4574674200857464</v>
      </c>
      <c r="F6859" t="str">
        <f>"471"</f>
        <v>471</v>
      </c>
      <c r="G6859">
        <v>1</v>
      </c>
      <c r="H6859">
        <v>2023</v>
      </c>
      <c r="I6859" t="s">
        <v>6974</v>
      </c>
    </row>
    <row r="6860" spans="1:9" x14ac:dyDescent="0.3">
      <c r="A6860" t="s">
        <v>10118</v>
      </c>
      <c r="B6860" t="s">
        <v>10</v>
      </c>
      <c r="C6860">
        <v>7648876604</v>
      </c>
      <c r="D6860" s="2">
        <v>1</v>
      </c>
      <c r="E6860" t="str">
        <f>"4574674200857654"</f>
        <v>4574674200857654</v>
      </c>
      <c r="F6860" t="str">
        <f>"499"</f>
        <v>499</v>
      </c>
      <c r="G6860">
        <v>1</v>
      </c>
      <c r="H6860">
        <v>2023</v>
      </c>
      <c r="I6860" t="s">
        <v>6975</v>
      </c>
    </row>
    <row r="6861" spans="1:9" x14ac:dyDescent="0.3">
      <c r="A6861" t="s">
        <v>10118</v>
      </c>
      <c r="B6861" t="s">
        <v>10</v>
      </c>
      <c r="C6861">
        <v>7648876604</v>
      </c>
      <c r="D6861" s="2">
        <v>1</v>
      </c>
      <c r="E6861" t="str">
        <f>"4574674200857647"</f>
        <v>4574674200857647</v>
      </c>
      <c r="F6861" t="str">
        <f>"753"</f>
        <v>753</v>
      </c>
      <c r="G6861">
        <v>1</v>
      </c>
      <c r="H6861">
        <v>2023</v>
      </c>
      <c r="I6861" t="s">
        <v>6976</v>
      </c>
    </row>
    <row r="6862" spans="1:9" x14ac:dyDescent="0.3">
      <c r="A6862" t="s">
        <v>10118</v>
      </c>
      <c r="B6862" t="s">
        <v>10</v>
      </c>
      <c r="C6862">
        <v>7648876604</v>
      </c>
      <c r="D6862" s="2">
        <v>1</v>
      </c>
      <c r="E6862" t="str">
        <f>"4574674200857704"</f>
        <v>4574674200857704</v>
      </c>
      <c r="F6862" t="str">
        <f>"094"</f>
        <v>094</v>
      </c>
      <c r="G6862">
        <v>1</v>
      </c>
      <c r="H6862">
        <v>2023</v>
      </c>
      <c r="I6862" t="s">
        <v>6977</v>
      </c>
    </row>
    <row r="6863" spans="1:9" x14ac:dyDescent="0.3">
      <c r="A6863" t="s">
        <v>10118</v>
      </c>
      <c r="B6863" t="s">
        <v>10</v>
      </c>
      <c r="C6863">
        <v>7648876604</v>
      </c>
      <c r="D6863" s="2">
        <v>1</v>
      </c>
      <c r="E6863" t="str">
        <f>"4574674200857555"</f>
        <v>4574674200857555</v>
      </c>
      <c r="F6863" t="str">
        <f>"418"</f>
        <v>418</v>
      </c>
      <c r="G6863">
        <v>1</v>
      </c>
      <c r="H6863">
        <v>2023</v>
      </c>
      <c r="I6863" t="s">
        <v>6978</v>
      </c>
    </row>
    <row r="6864" spans="1:9" x14ac:dyDescent="0.3">
      <c r="A6864" t="s">
        <v>10118</v>
      </c>
      <c r="B6864" t="s">
        <v>10</v>
      </c>
      <c r="C6864">
        <v>7648876604</v>
      </c>
      <c r="D6864" s="2">
        <v>1</v>
      </c>
      <c r="E6864" t="str">
        <f>"4574674200857571"</f>
        <v>4574674200857571</v>
      </c>
      <c r="F6864" t="str">
        <f>"704"</f>
        <v>704</v>
      </c>
      <c r="G6864">
        <v>1</v>
      </c>
      <c r="H6864">
        <v>2023</v>
      </c>
      <c r="I6864" t="s">
        <v>6979</v>
      </c>
    </row>
    <row r="6865" spans="1:9" x14ac:dyDescent="0.3">
      <c r="A6865" t="s">
        <v>10118</v>
      </c>
      <c r="B6865" t="s">
        <v>10</v>
      </c>
      <c r="C6865">
        <v>7648876604</v>
      </c>
      <c r="D6865" s="2">
        <v>1</v>
      </c>
      <c r="E6865" t="str">
        <f>"4574674200857589"</f>
        <v>4574674200857589</v>
      </c>
      <c r="F6865" t="str">
        <f>"867"</f>
        <v>867</v>
      </c>
      <c r="G6865">
        <v>1</v>
      </c>
      <c r="H6865">
        <v>2023</v>
      </c>
      <c r="I6865" t="s">
        <v>6980</v>
      </c>
    </row>
    <row r="6866" spans="1:9" x14ac:dyDescent="0.3">
      <c r="A6866" t="s">
        <v>10118</v>
      </c>
      <c r="B6866" t="s">
        <v>10</v>
      </c>
      <c r="C6866">
        <v>7648876604</v>
      </c>
      <c r="D6866" s="2">
        <v>1</v>
      </c>
      <c r="E6866" t="str">
        <f>"4574674200857597"</f>
        <v>4574674200857597</v>
      </c>
      <c r="F6866" t="str">
        <f>"314"</f>
        <v>314</v>
      </c>
      <c r="G6866">
        <v>1</v>
      </c>
      <c r="H6866">
        <v>2023</v>
      </c>
      <c r="I6866" t="s">
        <v>6981</v>
      </c>
    </row>
    <row r="6867" spans="1:9" x14ac:dyDescent="0.3">
      <c r="A6867" t="s">
        <v>10119</v>
      </c>
      <c r="B6867" t="s">
        <v>11</v>
      </c>
      <c r="C6867">
        <v>7648876604</v>
      </c>
      <c r="D6867" s="2">
        <v>1</v>
      </c>
      <c r="E6867" t="str">
        <f>"4574674200857795"</f>
        <v>4574674200857795</v>
      </c>
      <c r="F6867" t="str">
        <f>"531"</f>
        <v>531</v>
      </c>
      <c r="G6867">
        <v>1</v>
      </c>
      <c r="H6867">
        <v>2023</v>
      </c>
      <c r="I6867" t="s">
        <v>6982</v>
      </c>
    </row>
    <row r="6868" spans="1:9" x14ac:dyDescent="0.3">
      <c r="A6868" t="s">
        <v>10119</v>
      </c>
      <c r="B6868" t="s">
        <v>11</v>
      </c>
      <c r="C6868">
        <v>7648876604</v>
      </c>
      <c r="D6868" s="2">
        <v>1</v>
      </c>
      <c r="E6868" t="str">
        <f>"4574674200857845"</f>
        <v>4574674200857845</v>
      </c>
      <c r="F6868" t="str">
        <f>"108"</f>
        <v>108</v>
      </c>
      <c r="G6868">
        <v>1</v>
      </c>
      <c r="H6868">
        <v>2023</v>
      </c>
      <c r="I6868" t="s">
        <v>6983</v>
      </c>
    </row>
    <row r="6869" spans="1:9" x14ac:dyDescent="0.3">
      <c r="A6869" t="s">
        <v>10119</v>
      </c>
      <c r="B6869" t="s">
        <v>11</v>
      </c>
      <c r="C6869">
        <v>7648876604</v>
      </c>
      <c r="D6869" s="2">
        <v>1</v>
      </c>
      <c r="E6869" t="str">
        <f>"4574674200858025"</f>
        <v>4574674200858025</v>
      </c>
      <c r="F6869" t="str">
        <f>"336"</f>
        <v>336</v>
      </c>
      <c r="G6869">
        <v>1</v>
      </c>
      <c r="H6869">
        <v>2023</v>
      </c>
      <c r="I6869" t="s">
        <v>6984</v>
      </c>
    </row>
    <row r="6870" spans="1:9" x14ac:dyDescent="0.3">
      <c r="A6870" t="s">
        <v>10119</v>
      </c>
      <c r="B6870" t="s">
        <v>11</v>
      </c>
      <c r="C6870">
        <v>7648876604</v>
      </c>
      <c r="D6870" s="2">
        <v>1</v>
      </c>
      <c r="E6870" t="str">
        <f>"4574674200857886"</f>
        <v>4574674200857886</v>
      </c>
      <c r="F6870" t="str">
        <f>"255"</f>
        <v>255</v>
      </c>
      <c r="G6870">
        <v>1</v>
      </c>
      <c r="H6870">
        <v>2023</v>
      </c>
      <c r="I6870" t="s">
        <v>6985</v>
      </c>
    </row>
    <row r="6871" spans="1:9" x14ac:dyDescent="0.3">
      <c r="A6871" t="s">
        <v>10119</v>
      </c>
      <c r="B6871" t="s">
        <v>11</v>
      </c>
      <c r="C6871">
        <v>7648876604</v>
      </c>
      <c r="D6871" s="2">
        <v>1</v>
      </c>
      <c r="E6871" t="str">
        <f>"4574674200857894"</f>
        <v>4574674200857894</v>
      </c>
      <c r="F6871" t="str">
        <f>"547"</f>
        <v>547</v>
      </c>
      <c r="G6871">
        <v>1</v>
      </c>
      <c r="H6871">
        <v>2023</v>
      </c>
      <c r="I6871" t="s">
        <v>6986</v>
      </c>
    </row>
    <row r="6872" spans="1:9" x14ac:dyDescent="0.3">
      <c r="A6872" t="s">
        <v>10119</v>
      </c>
      <c r="B6872" t="s">
        <v>11</v>
      </c>
      <c r="C6872">
        <v>7648876604</v>
      </c>
      <c r="D6872" s="2">
        <v>1</v>
      </c>
      <c r="E6872" t="str">
        <f>"4574674200857910"</f>
        <v>4574674200857910</v>
      </c>
      <c r="F6872" t="str">
        <f>"395"</f>
        <v>395</v>
      </c>
      <c r="G6872">
        <v>1</v>
      </c>
      <c r="H6872">
        <v>2023</v>
      </c>
      <c r="I6872" t="s">
        <v>6987</v>
      </c>
    </row>
    <row r="6873" spans="1:9" x14ac:dyDescent="0.3">
      <c r="A6873" t="s">
        <v>10119</v>
      </c>
      <c r="B6873" t="s">
        <v>11</v>
      </c>
      <c r="C6873">
        <v>7648876604</v>
      </c>
      <c r="D6873" s="2">
        <v>1</v>
      </c>
      <c r="E6873" t="str">
        <f>"4574674200858058"</f>
        <v>4574674200858058</v>
      </c>
      <c r="F6873" t="str">
        <f>"575"</f>
        <v>575</v>
      </c>
      <c r="G6873">
        <v>1</v>
      </c>
      <c r="H6873">
        <v>2023</v>
      </c>
      <c r="I6873" t="s">
        <v>6988</v>
      </c>
    </row>
    <row r="6874" spans="1:9" x14ac:dyDescent="0.3">
      <c r="A6874" t="s">
        <v>10119</v>
      </c>
      <c r="B6874" t="s">
        <v>11</v>
      </c>
      <c r="C6874">
        <v>7648876604</v>
      </c>
      <c r="D6874" s="2">
        <v>1</v>
      </c>
      <c r="E6874" t="str">
        <f>"4574674200857969"</f>
        <v>4574674200857969</v>
      </c>
      <c r="F6874" t="str">
        <f>"770"</f>
        <v>770</v>
      </c>
      <c r="G6874">
        <v>1</v>
      </c>
      <c r="H6874">
        <v>2023</v>
      </c>
      <c r="I6874" t="s">
        <v>6989</v>
      </c>
    </row>
    <row r="6875" spans="1:9" x14ac:dyDescent="0.3">
      <c r="A6875" t="s">
        <v>10119</v>
      </c>
      <c r="B6875" t="s">
        <v>11</v>
      </c>
      <c r="C6875">
        <v>7648876604</v>
      </c>
      <c r="D6875" s="2">
        <v>1</v>
      </c>
      <c r="E6875" t="str">
        <f>"4574674200857993"</f>
        <v>4574674200857993</v>
      </c>
      <c r="F6875" t="str">
        <f>"933"</f>
        <v>933</v>
      </c>
      <c r="G6875">
        <v>1</v>
      </c>
      <c r="H6875">
        <v>2023</v>
      </c>
      <c r="I6875" t="s">
        <v>6990</v>
      </c>
    </row>
    <row r="6876" spans="1:9" x14ac:dyDescent="0.3">
      <c r="A6876" t="s">
        <v>10119</v>
      </c>
      <c r="B6876" t="s">
        <v>11</v>
      </c>
      <c r="C6876">
        <v>7648876604</v>
      </c>
      <c r="D6876" s="2">
        <v>1</v>
      </c>
      <c r="E6876" t="str">
        <f>"4574674200858413"</f>
        <v>4574674200858413</v>
      </c>
      <c r="F6876" t="str">
        <f>"552"</f>
        <v>552</v>
      </c>
      <c r="G6876">
        <v>1</v>
      </c>
      <c r="H6876">
        <v>2023</v>
      </c>
      <c r="I6876" t="s">
        <v>6991</v>
      </c>
    </row>
    <row r="6877" spans="1:9" x14ac:dyDescent="0.3">
      <c r="A6877" t="s">
        <v>10120</v>
      </c>
      <c r="B6877" t="s">
        <v>12</v>
      </c>
      <c r="C6877">
        <v>7648876604</v>
      </c>
      <c r="D6877" s="2">
        <v>1</v>
      </c>
      <c r="E6877" t="str">
        <f>"4574674200858421"</f>
        <v>4574674200858421</v>
      </c>
      <c r="F6877" t="str">
        <f>"731"</f>
        <v>731</v>
      </c>
      <c r="G6877">
        <v>1</v>
      </c>
      <c r="H6877">
        <v>2023</v>
      </c>
      <c r="I6877" t="s">
        <v>6992</v>
      </c>
    </row>
    <row r="6878" spans="1:9" x14ac:dyDescent="0.3">
      <c r="A6878" t="s">
        <v>10120</v>
      </c>
      <c r="B6878" t="s">
        <v>12</v>
      </c>
      <c r="C6878">
        <v>7648876604</v>
      </c>
      <c r="D6878" s="2">
        <v>1</v>
      </c>
      <c r="E6878" t="str">
        <f>"4574674200858231"</f>
        <v>4574674200858231</v>
      </c>
      <c r="F6878" t="str">
        <f>"077"</f>
        <v>077</v>
      </c>
      <c r="G6878">
        <v>1</v>
      </c>
      <c r="H6878">
        <v>2023</v>
      </c>
      <c r="I6878" t="s">
        <v>6993</v>
      </c>
    </row>
    <row r="6879" spans="1:9" x14ac:dyDescent="0.3">
      <c r="A6879" t="s">
        <v>10120</v>
      </c>
      <c r="B6879" t="s">
        <v>12</v>
      </c>
      <c r="C6879">
        <v>7648876604</v>
      </c>
      <c r="D6879" s="2">
        <v>1</v>
      </c>
      <c r="E6879" t="str">
        <f>"4574674200858249"</f>
        <v>4574674200858249</v>
      </c>
      <c r="F6879" t="str">
        <f>"103"</f>
        <v>103</v>
      </c>
      <c r="G6879">
        <v>1</v>
      </c>
      <c r="H6879">
        <v>2023</v>
      </c>
      <c r="I6879" t="s">
        <v>6994</v>
      </c>
    </row>
    <row r="6880" spans="1:9" x14ac:dyDescent="0.3">
      <c r="A6880" t="s">
        <v>10120</v>
      </c>
      <c r="B6880" t="s">
        <v>12</v>
      </c>
      <c r="C6880">
        <v>7648876604</v>
      </c>
      <c r="D6880" s="2">
        <v>1</v>
      </c>
      <c r="E6880" t="str">
        <f>"4574674200858256"</f>
        <v>4574674200858256</v>
      </c>
      <c r="F6880" t="str">
        <f>"104"</f>
        <v>104</v>
      </c>
      <c r="G6880">
        <v>1</v>
      </c>
      <c r="H6880">
        <v>2023</v>
      </c>
      <c r="I6880" t="s">
        <v>6995</v>
      </c>
    </row>
    <row r="6881" spans="1:9" x14ac:dyDescent="0.3">
      <c r="A6881" t="s">
        <v>10120</v>
      </c>
      <c r="B6881" t="s">
        <v>12</v>
      </c>
      <c r="C6881">
        <v>7648876604</v>
      </c>
      <c r="D6881" s="2">
        <v>1</v>
      </c>
      <c r="E6881" t="str">
        <f>"4574674200858314"</f>
        <v>4574674200858314</v>
      </c>
      <c r="F6881" t="str">
        <f>"237"</f>
        <v>237</v>
      </c>
      <c r="G6881">
        <v>1</v>
      </c>
      <c r="H6881">
        <v>2023</v>
      </c>
      <c r="I6881" t="s">
        <v>6996</v>
      </c>
    </row>
    <row r="6882" spans="1:9" x14ac:dyDescent="0.3">
      <c r="A6882" t="s">
        <v>10120</v>
      </c>
      <c r="B6882" t="s">
        <v>12</v>
      </c>
      <c r="C6882">
        <v>7648876604</v>
      </c>
      <c r="D6882" s="2">
        <v>1</v>
      </c>
      <c r="E6882" t="str">
        <f>"4574674200858520"</f>
        <v>4574674200858520</v>
      </c>
      <c r="F6882" t="str">
        <f>"087"</f>
        <v>087</v>
      </c>
      <c r="G6882">
        <v>1</v>
      </c>
      <c r="H6882">
        <v>2023</v>
      </c>
      <c r="I6882" t="s">
        <v>6997</v>
      </c>
    </row>
    <row r="6883" spans="1:9" x14ac:dyDescent="0.3">
      <c r="A6883" t="s">
        <v>10120</v>
      </c>
      <c r="B6883" t="s">
        <v>12</v>
      </c>
      <c r="C6883">
        <v>7648876604</v>
      </c>
      <c r="D6883" s="2">
        <v>1</v>
      </c>
      <c r="E6883" t="str">
        <f>"4574674200858561"</f>
        <v>4574674200858561</v>
      </c>
      <c r="F6883" t="str">
        <f>"719"</f>
        <v>719</v>
      </c>
      <c r="G6883">
        <v>1</v>
      </c>
      <c r="H6883">
        <v>2023</v>
      </c>
      <c r="I6883" t="s">
        <v>6998</v>
      </c>
    </row>
    <row r="6884" spans="1:9" x14ac:dyDescent="0.3">
      <c r="A6884" t="s">
        <v>10120</v>
      </c>
      <c r="B6884" t="s">
        <v>12</v>
      </c>
      <c r="C6884">
        <v>7648876604</v>
      </c>
      <c r="D6884" s="2">
        <v>1</v>
      </c>
      <c r="E6884" t="str">
        <f>"4574674200858363"</f>
        <v>4574674200858363</v>
      </c>
      <c r="F6884" t="str">
        <f>"024"</f>
        <v>024</v>
      </c>
      <c r="G6884">
        <v>1</v>
      </c>
      <c r="H6884">
        <v>2023</v>
      </c>
      <c r="I6884" t="s">
        <v>6999</v>
      </c>
    </row>
    <row r="6885" spans="1:9" x14ac:dyDescent="0.3">
      <c r="A6885" t="s">
        <v>10120</v>
      </c>
      <c r="B6885" t="s">
        <v>12</v>
      </c>
      <c r="C6885">
        <v>7648876604</v>
      </c>
      <c r="D6885" s="2">
        <v>1</v>
      </c>
      <c r="E6885" t="str">
        <f>"4574674200858587"</f>
        <v>4574674200858587</v>
      </c>
      <c r="F6885" t="str">
        <f>"067"</f>
        <v>067</v>
      </c>
      <c r="G6885">
        <v>1</v>
      </c>
      <c r="H6885">
        <v>2023</v>
      </c>
      <c r="I6885" t="s">
        <v>7000</v>
      </c>
    </row>
    <row r="6886" spans="1:9" x14ac:dyDescent="0.3">
      <c r="A6886" t="s">
        <v>10120</v>
      </c>
      <c r="B6886" t="s">
        <v>12</v>
      </c>
      <c r="C6886">
        <v>7648876604</v>
      </c>
      <c r="D6886" s="2">
        <v>1</v>
      </c>
      <c r="E6886" t="str">
        <f>"4574674200858611"</f>
        <v>4574674200858611</v>
      </c>
      <c r="F6886" t="str">
        <f>"385"</f>
        <v>385</v>
      </c>
      <c r="G6886">
        <v>1</v>
      </c>
      <c r="H6886">
        <v>2023</v>
      </c>
      <c r="I6886" t="s">
        <v>7001</v>
      </c>
    </row>
    <row r="6887" spans="1:9" x14ac:dyDescent="0.3">
      <c r="A6887" t="s">
        <v>10121</v>
      </c>
      <c r="B6887" t="s">
        <v>13</v>
      </c>
      <c r="C6887">
        <v>7648876604</v>
      </c>
      <c r="D6887" s="2">
        <v>1</v>
      </c>
      <c r="E6887" t="str">
        <f>"4574674200858389"</f>
        <v>4574674200858389</v>
      </c>
      <c r="F6887" t="str">
        <f>"443"</f>
        <v>443</v>
      </c>
      <c r="G6887">
        <v>1</v>
      </c>
      <c r="H6887">
        <v>2023</v>
      </c>
      <c r="I6887" t="s">
        <v>7002</v>
      </c>
    </row>
    <row r="6888" spans="1:9" x14ac:dyDescent="0.3">
      <c r="A6888" t="s">
        <v>10121</v>
      </c>
      <c r="B6888" t="s">
        <v>13</v>
      </c>
      <c r="C6888">
        <v>7648876604</v>
      </c>
      <c r="D6888" s="2">
        <v>1</v>
      </c>
      <c r="E6888" t="str">
        <f>"4574674200858702"</f>
        <v>4574674200858702</v>
      </c>
      <c r="F6888" t="str">
        <f>"675"</f>
        <v>675</v>
      </c>
      <c r="G6888">
        <v>1</v>
      </c>
      <c r="H6888">
        <v>2023</v>
      </c>
      <c r="I6888" t="s">
        <v>7003</v>
      </c>
    </row>
    <row r="6889" spans="1:9" x14ac:dyDescent="0.3">
      <c r="A6889" t="s">
        <v>10121</v>
      </c>
      <c r="B6889" t="s">
        <v>13</v>
      </c>
      <c r="C6889">
        <v>7648876604</v>
      </c>
      <c r="D6889" s="2">
        <v>1</v>
      </c>
      <c r="E6889" t="str">
        <f>"4574674200858736"</f>
        <v>4574674200858736</v>
      </c>
      <c r="F6889" t="str">
        <f>"284"</f>
        <v>284</v>
      </c>
      <c r="G6889">
        <v>1</v>
      </c>
      <c r="H6889">
        <v>2023</v>
      </c>
      <c r="I6889" t="s">
        <v>7004</v>
      </c>
    </row>
    <row r="6890" spans="1:9" x14ac:dyDescent="0.3">
      <c r="A6890" t="s">
        <v>10121</v>
      </c>
      <c r="B6890" t="s">
        <v>13</v>
      </c>
      <c r="C6890">
        <v>7648876604</v>
      </c>
      <c r="D6890" s="2">
        <v>1</v>
      </c>
      <c r="E6890" t="str">
        <f>"4574674200858801"</f>
        <v>4574674200858801</v>
      </c>
      <c r="F6890" t="str">
        <f>"315"</f>
        <v>315</v>
      </c>
      <c r="G6890">
        <v>1</v>
      </c>
      <c r="H6890">
        <v>2023</v>
      </c>
      <c r="I6890" t="s">
        <v>7005</v>
      </c>
    </row>
    <row r="6891" spans="1:9" x14ac:dyDescent="0.3">
      <c r="A6891" t="s">
        <v>10121</v>
      </c>
      <c r="B6891" t="s">
        <v>13</v>
      </c>
      <c r="C6891">
        <v>7648876604</v>
      </c>
      <c r="D6891" s="2">
        <v>1</v>
      </c>
      <c r="E6891" t="str">
        <f>"4574674200858843"</f>
        <v>4574674200858843</v>
      </c>
      <c r="F6891" t="str">
        <f>"935"</f>
        <v>935</v>
      </c>
      <c r="G6891">
        <v>1</v>
      </c>
      <c r="H6891">
        <v>2023</v>
      </c>
      <c r="I6891" t="s">
        <v>7006</v>
      </c>
    </row>
    <row r="6892" spans="1:9" x14ac:dyDescent="0.3">
      <c r="A6892" t="s">
        <v>10121</v>
      </c>
      <c r="B6892" t="s">
        <v>13</v>
      </c>
      <c r="C6892">
        <v>7648876604</v>
      </c>
      <c r="D6892" s="2">
        <v>1</v>
      </c>
      <c r="E6892" t="str">
        <f>"4574674200858835"</f>
        <v>4574674200858835</v>
      </c>
      <c r="F6892" t="str">
        <f>"339"</f>
        <v>339</v>
      </c>
      <c r="G6892">
        <v>1</v>
      </c>
      <c r="H6892">
        <v>2023</v>
      </c>
      <c r="I6892" t="s">
        <v>7007</v>
      </c>
    </row>
    <row r="6893" spans="1:9" x14ac:dyDescent="0.3">
      <c r="A6893" t="s">
        <v>10121</v>
      </c>
      <c r="B6893" t="s">
        <v>13</v>
      </c>
      <c r="C6893">
        <v>7648876604</v>
      </c>
      <c r="D6893" s="2">
        <v>1</v>
      </c>
      <c r="E6893" t="str">
        <f>"4574674200858892"</f>
        <v>4574674200858892</v>
      </c>
      <c r="F6893" t="str">
        <f>"999"</f>
        <v>999</v>
      </c>
      <c r="G6893">
        <v>1</v>
      </c>
      <c r="H6893">
        <v>2023</v>
      </c>
      <c r="I6893" t="s">
        <v>7008</v>
      </c>
    </row>
    <row r="6894" spans="1:9" x14ac:dyDescent="0.3">
      <c r="A6894" t="s">
        <v>10121</v>
      </c>
      <c r="B6894" t="s">
        <v>13</v>
      </c>
      <c r="C6894">
        <v>7648876604</v>
      </c>
      <c r="D6894" s="2">
        <v>1</v>
      </c>
      <c r="E6894" t="str">
        <f>"4574674200859031"</f>
        <v>4574674200859031</v>
      </c>
      <c r="F6894" t="str">
        <f>"423"</f>
        <v>423</v>
      </c>
      <c r="G6894">
        <v>1</v>
      </c>
      <c r="H6894">
        <v>2023</v>
      </c>
      <c r="I6894" t="s">
        <v>7009</v>
      </c>
    </row>
    <row r="6895" spans="1:9" x14ac:dyDescent="0.3">
      <c r="A6895" t="s">
        <v>10121</v>
      </c>
      <c r="B6895" t="s">
        <v>13</v>
      </c>
      <c r="C6895">
        <v>7648876604</v>
      </c>
      <c r="D6895" s="2">
        <v>1</v>
      </c>
      <c r="E6895" t="str">
        <f>"4574674200858934"</f>
        <v>4574674200858934</v>
      </c>
      <c r="F6895" t="str">
        <f>"070"</f>
        <v>070</v>
      </c>
      <c r="G6895">
        <v>1</v>
      </c>
      <c r="H6895">
        <v>2023</v>
      </c>
      <c r="I6895" t="s">
        <v>7010</v>
      </c>
    </row>
    <row r="6896" spans="1:9" x14ac:dyDescent="0.3">
      <c r="A6896" t="s">
        <v>10121</v>
      </c>
      <c r="B6896" t="s">
        <v>13</v>
      </c>
      <c r="C6896">
        <v>7648876604</v>
      </c>
      <c r="D6896" s="2">
        <v>1</v>
      </c>
      <c r="E6896" t="str">
        <f>"4574674200858942"</f>
        <v>4574674200858942</v>
      </c>
      <c r="F6896" t="str">
        <f>"907"</f>
        <v>907</v>
      </c>
      <c r="G6896">
        <v>1</v>
      </c>
      <c r="H6896">
        <v>2023</v>
      </c>
      <c r="I6896" t="s">
        <v>7011</v>
      </c>
    </row>
    <row r="6897" spans="1:9" x14ac:dyDescent="0.3">
      <c r="A6897" t="s">
        <v>10122</v>
      </c>
      <c r="B6897" t="s">
        <v>14</v>
      </c>
      <c r="C6897">
        <v>7648876604</v>
      </c>
      <c r="D6897" s="2">
        <v>1</v>
      </c>
      <c r="E6897" t="str">
        <f>"4574674200858967"</f>
        <v>4574674200858967</v>
      </c>
      <c r="F6897" t="str">
        <f>"610"</f>
        <v>610</v>
      </c>
      <c r="G6897">
        <v>1</v>
      </c>
      <c r="H6897">
        <v>2023</v>
      </c>
      <c r="I6897" t="s">
        <v>7012</v>
      </c>
    </row>
    <row r="6898" spans="1:9" x14ac:dyDescent="0.3">
      <c r="A6898" t="s">
        <v>10122</v>
      </c>
      <c r="B6898" t="s">
        <v>14</v>
      </c>
      <c r="C6898">
        <v>7648876604</v>
      </c>
      <c r="D6898" s="2">
        <v>1</v>
      </c>
      <c r="E6898" t="str">
        <f>"4574674200859213"</f>
        <v>4574674200859213</v>
      </c>
      <c r="F6898" t="str">
        <f>"805"</f>
        <v>805</v>
      </c>
      <c r="G6898">
        <v>1</v>
      </c>
      <c r="H6898">
        <v>2023</v>
      </c>
      <c r="I6898" t="s">
        <v>7013</v>
      </c>
    </row>
    <row r="6899" spans="1:9" x14ac:dyDescent="0.3">
      <c r="A6899" t="s">
        <v>10122</v>
      </c>
      <c r="B6899" t="s">
        <v>14</v>
      </c>
      <c r="C6899">
        <v>7648876604</v>
      </c>
      <c r="D6899" s="2">
        <v>1</v>
      </c>
      <c r="E6899" t="str">
        <f>"4574674200859171"</f>
        <v>4574674200859171</v>
      </c>
      <c r="F6899" t="str">
        <f>"340"</f>
        <v>340</v>
      </c>
      <c r="G6899">
        <v>1</v>
      </c>
      <c r="H6899">
        <v>2023</v>
      </c>
      <c r="I6899" t="s">
        <v>7014</v>
      </c>
    </row>
    <row r="6900" spans="1:9" x14ac:dyDescent="0.3">
      <c r="A6900" t="s">
        <v>10122</v>
      </c>
      <c r="B6900" t="s">
        <v>14</v>
      </c>
      <c r="C6900">
        <v>7648876604</v>
      </c>
      <c r="D6900" s="2">
        <v>1</v>
      </c>
      <c r="E6900" t="str">
        <f>"4574674200859189"</f>
        <v>4574674200859189</v>
      </c>
      <c r="F6900" t="str">
        <f>"057"</f>
        <v>057</v>
      </c>
      <c r="G6900">
        <v>1</v>
      </c>
      <c r="H6900">
        <v>2023</v>
      </c>
      <c r="I6900" t="s">
        <v>7015</v>
      </c>
    </row>
    <row r="6901" spans="1:9" x14ac:dyDescent="0.3">
      <c r="A6901" t="s">
        <v>10122</v>
      </c>
      <c r="B6901" t="s">
        <v>14</v>
      </c>
      <c r="C6901">
        <v>7648876604</v>
      </c>
      <c r="D6901" s="2">
        <v>1</v>
      </c>
      <c r="E6901" t="str">
        <f>"4574674200859262"</f>
        <v>4574674200859262</v>
      </c>
      <c r="F6901" t="str">
        <f>"910"</f>
        <v>910</v>
      </c>
      <c r="G6901">
        <v>1</v>
      </c>
      <c r="H6901">
        <v>2023</v>
      </c>
      <c r="I6901" t="s">
        <v>7016</v>
      </c>
    </row>
    <row r="6902" spans="1:9" x14ac:dyDescent="0.3">
      <c r="A6902" t="s">
        <v>10122</v>
      </c>
      <c r="B6902" t="s">
        <v>14</v>
      </c>
      <c r="C6902">
        <v>7648876604</v>
      </c>
      <c r="D6902" s="2">
        <v>1</v>
      </c>
      <c r="E6902" t="str">
        <f>"4574674200859254"</f>
        <v>4574674200859254</v>
      </c>
      <c r="F6902" t="str">
        <f>"033"</f>
        <v>033</v>
      </c>
      <c r="G6902">
        <v>1</v>
      </c>
      <c r="H6902">
        <v>2023</v>
      </c>
      <c r="I6902" t="s">
        <v>7017</v>
      </c>
    </row>
    <row r="6903" spans="1:9" x14ac:dyDescent="0.3">
      <c r="A6903" t="s">
        <v>10122</v>
      </c>
      <c r="B6903" t="s">
        <v>14</v>
      </c>
      <c r="C6903">
        <v>7648876604</v>
      </c>
      <c r="D6903" s="2">
        <v>1</v>
      </c>
      <c r="E6903" t="str">
        <f>"4574674200859288"</f>
        <v>4574674200859288</v>
      </c>
      <c r="F6903" t="str">
        <f>"872"</f>
        <v>872</v>
      </c>
      <c r="G6903">
        <v>1</v>
      </c>
      <c r="H6903">
        <v>2023</v>
      </c>
      <c r="I6903" t="s">
        <v>7018</v>
      </c>
    </row>
    <row r="6904" spans="1:9" x14ac:dyDescent="0.3">
      <c r="A6904" t="s">
        <v>10122</v>
      </c>
      <c r="B6904" t="s">
        <v>14</v>
      </c>
      <c r="C6904">
        <v>7648876604</v>
      </c>
      <c r="D6904" s="2">
        <v>1</v>
      </c>
      <c r="E6904" t="str">
        <f>"4574674200859437"</f>
        <v>4574674200859437</v>
      </c>
      <c r="F6904" t="str">
        <f>"965"</f>
        <v>965</v>
      </c>
      <c r="G6904">
        <v>1</v>
      </c>
      <c r="H6904">
        <v>2023</v>
      </c>
      <c r="I6904" t="s">
        <v>7019</v>
      </c>
    </row>
    <row r="6905" spans="1:9" x14ac:dyDescent="0.3">
      <c r="A6905" t="s">
        <v>10122</v>
      </c>
      <c r="B6905" t="s">
        <v>14</v>
      </c>
      <c r="C6905">
        <v>7648876604</v>
      </c>
      <c r="D6905" s="2">
        <v>1</v>
      </c>
      <c r="E6905" t="str">
        <f>"4574674200859346"</f>
        <v>4574674200859346</v>
      </c>
      <c r="F6905" t="str">
        <f>"747"</f>
        <v>747</v>
      </c>
      <c r="G6905">
        <v>1</v>
      </c>
      <c r="H6905">
        <v>2023</v>
      </c>
      <c r="I6905" t="s">
        <v>7020</v>
      </c>
    </row>
    <row r="6906" spans="1:9" x14ac:dyDescent="0.3">
      <c r="A6906" t="s">
        <v>10122</v>
      </c>
      <c r="B6906" t="s">
        <v>14</v>
      </c>
      <c r="C6906">
        <v>7648876604</v>
      </c>
      <c r="D6906" s="2">
        <v>1</v>
      </c>
      <c r="E6906" t="str">
        <f>"4574674200859338"</f>
        <v>4574674200859338</v>
      </c>
      <c r="F6906" t="str">
        <f>"964"</f>
        <v>964</v>
      </c>
      <c r="G6906">
        <v>1</v>
      </c>
      <c r="H6906">
        <v>2023</v>
      </c>
      <c r="I6906" t="s">
        <v>7021</v>
      </c>
    </row>
    <row r="6907" spans="1:9" x14ac:dyDescent="0.3">
      <c r="A6907" t="s">
        <v>10123</v>
      </c>
      <c r="B6907" t="s">
        <v>15</v>
      </c>
      <c r="C6907">
        <v>7648876604</v>
      </c>
      <c r="D6907" s="2">
        <v>1</v>
      </c>
      <c r="E6907" t="str">
        <f>"4574674200859361"</f>
        <v>4574674200859361</v>
      </c>
      <c r="F6907" t="str">
        <f>"050"</f>
        <v>050</v>
      </c>
      <c r="G6907">
        <v>1</v>
      </c>
      <c r="H6907">
        <v>2023</v>
      </c>
      <c r="I6907" t="s">
        <v>7022</v>
      </c>
    </row>
    <row r="6908" spans="1:9" x14ac:dyDescent="0.3">
      <c r="A6908" t="s">
        <v>10123</v>
      </c>
      <c r="B6908" t="s">
        <v>15</v>
      </c>
      <c r="C6908">
        <v>7648876604</v>
      </c>
      <c r="D6908" s="2">
        <v>1</v>
      </c>
      <c r="E6908" t="str">
        <f>"4574674200859619"</f>
        <v>4574674200859619</v>
      </c>
      <c r="F6908" t="str">
        <f>"396"</f>
        <v>396</v>
      </c>
      <c r="G6908">
        <v>1</v>
      </c>
      <c r="H6908">
        <v>2023</v>
      </c>
      <c r="I6908" t="s">
        <v>7023</v>
      </c>
    </row>
    <row r="6909" spans="1:9" x14ac:dyDescent="0.3">
      <c r="A6909" t="s">
        <v>10123</v>
      </c>
      <c r="B6909" t="s">
        <v>15</v>
      </c>
      <c r="C6909">
        <v>7648876604</v>
      </c>
      <c r="D6909" s="2">
        <v>1</v>
      </c>
      <c r="E6909" t="str">
        <f>"4574674200859544"</f>
        <v>4574674200859544</v>
      </c>
      <c r="F6909" t="str">
        <f>"999"</f>
        <v>999</v>
      </c>
      <c r="G6909">
        <v>1</v>
      </c>
      <c r="H6909">
        <v>2023</v>
      </c>
      <c r="I6909" t="s">
        <v>7024</v>
      </c>
    </row>
    <row r="6910" spans="1:9" x14ac:dyDescent="0.3">
      <c r="A6910" t="s">
        <v>10123</v>
      </c>
      <c r="B6910" t="s">
        <v>15</v>
      </c>
      <c r="C6910">
        <v>7648876604</v>
      </c>
      <c r="D6910" s="2">
        <v>1</v>
      </c>
      <c r="E6910" t="str">
        <f>"4574674200859585"</f>
        <v>4574674200859585</v>
      </c>
      <c r="F6910" t="str">
        <f>"589"</f>
        <v>589</v>
      </c>
      <c r="G6910">
        <v>1</v>
      </c>
      <c r="H6910">
        <v>2023</v>
      </c>
      <c r="I6910" t="s">
        <v>7025</v>
      </c>
    </row>
    <row r="6911" spans="1:9" x14ac:dyDescent="0.3">
      <c r="A6911" t="s">
        <v>10123</v>
      </c>
      <c r="B6911" t="s">
        <v>15</v>
      </c>
      <c r="C6911">
        <v>7648876604</v>
      </c>
      <c r="D6911" s="2">
        <v>1</v>
      </c>
      <c r="E6911" t="str">
        <f>"4574674200859668"</f>
        <v>4574674200859668</v>
      </c>
      <c r="F6911" t="str">
        <f>"341"</f>
        <v>341</v>
      </c>
      <c r="G6911">
        <v>1</v>
      </c>
      <c r="H6911">
        <v>2023</v>
      </c>
      <c r="I6911" t="s">
        <v>7026</v>
      </c>
    </row>
    <row r="6912" spans="1:9" x14ac:dyDescent="0.3">
      <c r="A6912" t="s">
        <v>10123</v>
      </c>
      <c r="B6912" t="s">
        <v>15</v>
      </c>
      <c r="C6912">
        <v>7648876604</v>
      </c>
      <c r="D6912" s="2">
        <v>1</v>
      </c>
      <c r="E6912" t="str">
        <f>"4574674200859833"</f>
        <v>4574674200859833</v>
      </c>
      <c r="F6912" t="str">
        <f>"676"</f>
        <v>676</v>
      </c>
      <c r="G6912">
        <v>1</v>
      </c>
      <c r="H6912">
        <v>2023</v>
      </c>
      <c r="I6912" t="s">
        <v>7027</v>
      </c>
    </row>
    <row r="6913" spans="1:9" x14ac:dyDescent="0.3">
      <c r="A6913" t="s">
        <v>10123</v>
      </c>
      <c r="B6913" t="s">
        <v>15</v>
      </c>
      <c r="C6913">
        <v>7648876604</v>
      </c>
      <c r="D6913" s="2">
        <v>1</v>
      </c>
      <c r="E6913" t="str">
        <f>"4574674200859684"</f>
        <v>4574674200859684</v>
      </c>
      <c r="F6913" t="str">
        <f>"100"</f>
        <v>100</v>
      </c>
      <c r="G6913">
        <v>1</v>
      </c>
      <c r="H6913">
        <v>2023</v>
      </c>
      <c r="I6913" t="s">
        <v>7028</v>
      </c>
    </row>
    <row r="6914" spans="1:9" x14ac:dyDescent="0.3">
      <c r="A6914" t="s">
        <v>10123</v>
      </c>
      <c r="B6914" t="s">
        <v>15</v>
      </c>
      <c r="C6914">
        <v>7648876604</v>
      </c>
      <c r="D6914" s="2">
        <v>1</v>
      </c>
      <c r="E6914" t="str">
        <f>"4574674200859692"</f>
        <v>4574674200859692</v>
      </c>
      <c r="F6914" t="str">
        <f>"146"</f>
        <v>146</v>
      </c>
      <c r="G6914">
        <v>1</v>
      </c>
      <c r="H6914">
        <v>2023</v>
      </c>
      <c r="I6914" t="s">
        <v>7029</v>
      </c>
    </row>
    <row r="6915" spans="1:9" x14ac:dyDescent="0.3">
      <c r="A6915" t="s">
        <v>10123</v>
      </c>
      <c r="B6915" t="s">
        <v>15</v>
      </c>
      <c r="C6915">
        <v>7648876604</v>
      </c>
      <c r="D6915" s="2">
        <v>1</v>
      </c>
      <c r="E6915" t="str">
        <f>"4574674200859924"</f>
        <v>4574674200859924</v>
      </c>
      <c r="F6915" t="str">
        <f>"315"</f>
        <v>315</v>
      </c>
      <c r="G6915">
        <v>1</v>
      </c>
      <c r="H6915">
        <v>2023</v>
      </c>
      <c r="I6915" t="s">
        <v>7030</v>
      </c>
    </row>
    <row r="6916" spans="1:9" x14ac:dyDescent="0.3">
      <c r="A6916" t="s">
        <v>10123</v>
      </c>
      <c r="B6916" t="s">
        <v>15</v>
      </c>
      <c r="C6916">
        <v>7648876604</v>
      </c>
      <c r="D6916" s="2">
        <v>1</v>
      </c>
      <c r="E6916" t="str">
        <f>"4574674200859916"</f>
        <v>4574674200859916</v>
      </c>
      <c r="F6916" t="str">
        <f>"054"</f>
        <v>054</v>
      </c>
      <c r="G6916">
        <v>1</v>
      </c>
      <c r="H6916">
        <v>2023</v>
      </c>
      <c r="I6916" t="s">
        <v>7031</v>
      </c>
    </row>
    <row r="6917" spans="1:9" x14ac:dyDescent="0.3">
      <c r="A6917" t="s">
        <v>10124</v>
      </c>
      <c r="B6917" t="s">
        <v>16</v>
      </c>
      <c r="C6917">
        <v>7648876604</v>
      </c>
      <c r="D6917" s="2">
        <v>1</v>
      </c>
      <c r="E6917" t="str">
        <f>"4574674200859734"</f>
        <v>4574674200859734</v>
      </c>
      <c r="F6917" t="str">
        <f>"539"</f>
        <v>539</v>
      </c>
      <c r="G6917">
        <v>1</v>
      </c>
      <c r="H6917">
        <v>2023</v>
      </c>
      <c r="I6917" t="s">
        <v>7032</v>
      </c>
    </row>
    <row r="6918" spans="1:9" x14ac:dyDescent="0.3">
      <c r="A6918" t="s">
        <v>10124</v>
      </c>
      <c r="B6918" t="s">
        <v>16</v>
      </c>
      <c r="C6918">
        <v>7648876604</v>
      </c>
      <c r="D6918" s="2">
        <v>1</v>
      </c>
      <c r="E6918" t="str">
        <f>"4574674200859775"</f>
        <v>4574674200859775</v>
      </c>
      <c r="F6918" t="str">
        <f>"469"</f>
        <v>469</v>
      </c>
      <c r="G6918">
        <v>1</v>
      </c>
      <c r="H6918">
        <v>2023</v>
      </c>
      <c r="I6918" t="s">
        <v>7033</v>
      </c>
    </row>
    <row r="6919" spans="1:9" x14ac:dyDescent="0.3">
      <c r="A6919" t="s">
        <v>10124</v>
      </c>
      <c r="B6919" t="s">
        <v>16</v>
      </c>
      <c r="C6919">
        <v>7648876604</v>
      </c>
      <c r="D6919" s="2">
        <v>1</v>
      </c>
      <c r="E6919" t="str">
        <f>"4574674200860005"</f>
        <v>4574674200860005</v>
      </c>
      <c r="F6919" t="str">
        <f>"428"</f>
        <v>428</v>
      </c>
      <c r="G6919">
        <v>1</v>
      </c>
      <c r="H6919">
        <v>2023</v>
      </c>
      <c r="I6919" t="s">
        <v>7034</v>
      </c>
    </row>
    <row r="6920" spans="1:9" x14ac:dyDescent="0.3">
      <c r="A6920" t="s">
        <v>10124</v>
      </c>
      <c r="B6920" t="s">
        <v>16</v>
      </c>
      <c r="C6920">
        <v>7648876604</v>
      </c>
      <c r="D6920" s="2">
        <v>1</v>
      </c>
      <c r="E6920" t="str">
        <f>"4574674200860013"</f>
        <v>4574674200860013</v>
      </c>
      <c r="F6920" t="str">
        <f>"864"</f>
        <v>864</v>
      </c>
      <c r="G6920">
        <v>1</v>
      </c>
      <c r="H6920">
        <v>2023</v>
      </c>
      <c r="I6920" t="s">
        <v>7035</v>
      </c>
    </row>
    <row r="6921" spans="1:9" x14ac:dyDescent="0.3">
      <c r="A6921" t="s">
        <v>10124</v>
      </c>
      <c r="B6921" t="s">
        <v>16</v>
      </c>
      <c r="C6921">
        <v>7648876604</v>
      </c>
      <c r="D6921" s="2">
        <v>1</v>
      </c>
      <c r="E6921" t="str">
        <f>"4574674200859999"</f>
        <v>4574674200859999</v>
      </c>
      <c r="F6921" t="str">
        <f>"354"</f>
        <v>354</v>
      </c>
      <c r="G6921">
        <v>1</v>
      </c>
      <c r="H6921">
        <v>2023</v>
      </c>
      <c r="I6921" t="s">
        <v>7036</v>
      </c>
    </row>
    <row r="6922" spans="1:9" x14ac:dyDescent="0.3">
      <c r="A6922" t="s">
        <v>10124</v>
      </c>
      <c r="B6922" t="s">
        <v>16</v>
      </c>
      <c r="C6922">
        <v>7648876604</v>
      </c>
      <c r="D6922" s="2">
        <v>1</v>
      </c>
      <c r="E6922" t="str">
        <f>"4574674200860286"</f>
        <v>4574674200860286</v>
      </c>
      <c r="F6922" t="str">
        <f>"974"</f>
        <v>974</v>
      </c>
      <c r="G6922">
        <v>1</v>
      </c>
      <c r="H6922">
        <v>2023</v>
      </c>
      <c r="I6922" t="s">
        <v>7037</v>
      </c>
    </row>
    <row r="6923" spans="1:9" x14ac:dyDescent="0.3">
      <c r="A6923" t="s">
        <v>10124</v>
      </c>
      <c r="B6923" t="s">
        <v>16</v>
      </c>
      <c r="C6923">
        <v>7648876604</v>
      </c>
      <c r="D6923" s="2">
        <v>1</v>
      </c>
      <c r="E6923" t="str">
        <f>"4574674200860278"</f>
        <v>4574674200860278</v>
      </c>
      <c r="F6923" t="str">
        <f>"104"</f>
        <v>104</v>
      </c>
      <c r="G6923">
        <v>1</v>
      </c>
      <c r="H6923">
        <v>2023</v>
      </c>
      <c r="I6923" t="s">
        <v>7038</v>
      </c>
    </row>
    <row r="6924" spans="1:9" x14ac:dyDescent="0.3">
      <c r="A6924" t="s">
        <v>10124</v>
      </c>
      <c r="B6924" t="s">
        <v>16</v>
      </c>
      <c r="C6924">
        <v>7648876604</v>
      </c>
      <c r="D6924" s="2">
        <v>1</v>
      </c>
      <c r="E6924" t="str">
        <f>"4574674200860047"</f>
        <v>4574674200860047</v>
      </c>
      <c r="F6924" t="str">
        <f>"543"</f>
        <v>543</v>
      </c>
      <c r="G6924">
        <v>1</v>
      </c>
      <c r="H6924">
        <v>2023</v>
      </c>
      <c r="I6924" t="s">
        <v>7039</v>
      </c>
    </row>
    <row r="6925" spans="1:9" x14ac:dyDescent="0.3">
      <c r="A6925" t="s">
        <v>10124</v>
      </c>
      <c r="B6925" t="s">
        <v>16</v>
      </c>
      <c r="C6925">
        <v>7648876604</v>
      </c>
      <c r="D6925" s="2">
        <v>1</v>
      </c>
      <c r="E6925" t="str">
        <f>"4574674200860351"</f>
        <v>4574674200860351</v>
      </c>
      <c r="F6925" t="str">
        <f>"961"</f>
        <v>961</v>
      </c>
      <c r="G6925">
        <v>1</v>
      </c>
      <c r="H6925">
        <v>2023</v>
      </c>
      <c r="I6925" t="s">
        <v>7040</v>
      </c>
    </row>
    <row r="6926" spans="1:9" x14ac:dyDescent="0.3">
      <c r="A6926" t="s">
        <v>10124</v>
      </c>
      <c r="B6926" t="s">
        <v>16</v>
      </c>
      <c r="C6926">
        <v>7648876604</v>
      </c>
      <c r="D6926" s="2">
        <v>1</v>
      </c>
      <c r="E6926" t="str">
        <f>"4574674200860112"</f>
        <v>4574674200860112</v>
      </c>
      <c r="F6926" t="str">
        <f>"167"</f>
        <v>167</v>
      </c>
      <c r="G6926">
        <v>1</v>
      </c>
      <c r="H6926">
        <v>2023</v>
      </c>
      <c r="I6926" t="s">
        <v>7041</v>
      </c>
    </row>
    <row r="6927" spans="1:9" x14ac:dyDescent="0.3">
      <c r="A6927" t="s">
        <v>10125</v>
      </c>
      <c r="B6927" t="s">
        <v>17</v>
      </c>
      <c r="C6927">
        <v>7648876604</v>
      </c>
      <c r="D6927" s="2">
        <v>1</v>
      </c>
      <c r="E6927" t="str">
        <f>"4574674200860096"</f>
        <v>4574674200860096</v>
      </c>
      <c r="F6927" t="str">
        <f>"797"</f>
        <v>797</v>
      </c>
      <c r="G6927">
        <v>1</v>
      </c>
      <c r="H6927">
        <v>2023</v>
      </c>
      <c r="I6927" t="s">
        <v>7042</v>
      </c>
    </row>
    <row r="6928" spans="1:9" x14ac:dyDescent="0.3">
      <c r="A6928" t="s">
        <v>10125</v>
      </c>
      <c r="B6928" t="s">
        <v>17</v>
      </c>
      <c r="C6928">
        <v>7648876604</v>
      </c>
      <c r="D6928" s="2">
        <v>1</v>
      </c>
      <c r="E6928" t="str">
        <f>"4574674200860104"</f>
        <v>4574674200860104</v>
      </c>
      <c r="F6928" t="str">
        <f>"359"</f>
        <v>359</v>
      </c>
      <c r="G6928">
        <v>1</v>
      </c>
      <c r="H6928">
        <v>2023</v>
      </c>
      <c r="I6928" t="s">
        <v>7043</v>
      </c>
    </row>
    <row r="6929" spans="1:9" x14ac:dyDescent="0.3">
      <c r="A6929" t="s">
        <v>10125</v>
      </c>
      <c r="B6929" t="s">
        <v>17</v>
      </c>
      <c r="C6929">
        <v>7648876604</v>
      </c>
      <c r="D6929" s="2">
        <v>1</v>
      </c>
      <c r="E6929" t="str">
        <f>"4574674200860369"</f>
        <v>4574674200860369</v>
      </c>
      <c r="F6929" t="str">
        <f>"057"</f>
        <v>057</v>
      </c>
      <c r="G6929">
        <v>1</v>
      </c>
      <c r="H6929">
        <v>2023</v>
      </c>
      <c r="I6929" t="s">
        <v>7044</v>
      </c>
    </row>
    <row r="6930" spans="1:9" x14ac:dyDescent="0.3">
      <c r="A6930" t="s">
        <v>10125</v>
      </c>
      <c r="B6930" t="s">
        <v>17</v>
      </c>
      <c r="C6930">
        <v>7648876604</v>
      </c>
      <c r="D6930" s="2">
        <v>1</v>
      </c>
      <c r="E6930" t="str">
        <f>"4574674200860385"</f>
        <v>4574674200860385</v>
      </c>
      <c r="F6930" t="str">
        <f>"828"</f>
        <v>828</v>
      </c>
      <c r="G6930">
        <v>1</v>
      </c>
      <c r="H6930">
        <v>2023</v>
      </c>
      <c r="I6930" t="s">
        <v>7045</v>
      </c>
    </row>
    <row r="6931" spans="1:9" x14ac:dyDescent="0.3">
      <c r="A6931" t="s">
        <v>10125</v>
      </c>
      <c r="B6931" t="s">
        <v>17</v>
      </c>
      <c r="C6931">
        <v>7648876604</v>
      </c>
      <c r="D6931" s="2">
        <v>1</v>
      </c>
      <c r="E6931" t="str">
        <f>"4574674200860518"</f>
        <v>4574674200860518</v>
      </c>
      <c r="F6931" t="str">
        <f>"619"</f>
        <v>619</v>
      </c>
      <c r="G6931">
        <v>1</v>
      </c>
      <c r="H6931">
        <v>2023</v>
      </c>
      <c r="I6931" t="s">
        <v>7046</v>
      </c>
    </row>
    <row r="6932" spans="1:9" x14ac:dyDescent="0.3">
      <c r="A6932" t="s">
        <v>10125</v>
      </c>
      <c r="B6932" t="s">
        <v>17</v>
      </c>
      <c r="C6932">
        <v>7648876604</v>
      </c>
      <c r="D6932" s="2">
        <v>1</v>
      </c>
      <c r="E6932" t="str">
        <f>"4574674200860823"</f>
        <v>4574674200860823</v>
      </c>
      <c r="F6932" t="str">
        <f>"571"</f>
        <v>571</v>
      </c>
      <c r="G6932">
        <v>1</v>
      </c>
      <c r="H6932">
        <v>2023</v>
      </c>
      <c r="I6932" t="s">
        <v>7047</v>
      </c>
    </row>
    <row r="6933" spans="1:9" x14ac:dyDescent="0.3">
      <c r="A6933" t="s">
        <v>10125</v>
      </c>
      <c r="B6933" t="s">
        <v>17</v>
      </c>
      <c r="C6933">
        <v>7648876604</v>
      </c>
      <c r="D6933" s="2">
        <v>1</v>
      </c>
      <c r="E6933" t="str">
        <f>"4574674200861508"</f>
        <v>4574674200861508</v>
      </c>
      <c r="F6933" t="str">
        <f>"625"</f>
        <v>625</v>
      </c>
      <c r="G6933">
        <v>1</v>
      </c>
      <c r="H6933">
        <v>2023</v>
      </c>
      <c r="I6933" t="s">
        <v>7048</v>
      </c>
    </row>
    <row r="6934" spans="1:9" x14ac:dyDescent="0.3">
      <c r="A6934" t="s">
        <v>10125</v>
      </c>
      <c r="B6934" t="s">
        <v>17</v>
      </c>
      <c r="C6934">
        <v>7648876604</v>
      </c>
      <c r="D6934" s="2">
        <v>1</v>
      </c>
      <c r="E6934" t="str">
        <f>"4574674200861524"</f>
        <v>4574674200861524</v>
      </c>
      <c r="F6934" t="str">
        <f>"724"</f>
        <v>724</v>
      </c>
      <c r="G6934">
        <v>1</v>
      </c>
      <c r="H6934">
        <v>2023</v>
      </c>
      <c r="I6934" t="s">
        <v>7049</v>
      </c>
    </row>
    <row r="6935" spans="1:9" x14ac:dyDescent="0.3">
      <c r="A6935" t="s">
        <v>10125</v>
      </c>
      <c r="B6935" t="s">
        <v>17</v>
      </c>
      <c r="C6935">
        <v>7648876604</v>
      </c>
      <c r="D6935" s="2">
        <v>1</v>
      </c>
      <c r="E6935" t="str">
        <f>"4574674200861516"</f>
        <v>4574674200861516</v>
      </c>
      <c r="F6935" t="str">
        <f>"633"</f>
        <v>633</v>
      </c>
      <c r="G6935">
        <v>1</v>
      </c>
      <c r="H6935">
        <v>2023</v>
      </c>
      <c r="I6935" t="s">
        <v>7050</v>
      </c>
    </row>
    <row r="6936" spans="1:9" x14ac:dyDescent="0.3">
      <c r="A6936" t="s">
        <v>10125</v>
      </c>
      <c r="B6936" t="s">
        <v>17</v>
      </c>
      <c r="C6936">
        <v>7648876604</v>
      </c>
      <c r="D6936" s="2">
        <v>1</v>
      </c>
      <c r="E6936" t="str">
        <f>"4574674200861532"</f>
        <v>4574674200861532</v>
      </c>
      <c r="F6936" t="str">
        <f>"938"</f>
        <v>938</v>
      </c>
      <c r="G6936">
        <v>1</v>
      </c>
      <c r="H6936">
        <v>2023</v>
      </c>
      <c r="I6936" t="s">
        <v>7051</v>
      </c>
    </row>
    <row r="6937" spans="1:9" x14ac:dyDescent="0.3">
      <c r="A6937" t="s">
        <v>10126</v>
      </c>
      <c r="B6937" t="s">
        <v>18</v>
      </c>
      <c r="C6937">
        <v>7648876604</v>
      </c>
      <c r="D6937" s="2">
        <v>1</v>
      </c>
      <c r="E6937" t="str">
        <f>"4574674200861573"</f>
        <v>4574674200861573</v>
      </c>
      <c r="F6937" t="str">
        <f>"270"</f>
        <v>270</v>
      </c>
      <c r="G6937">
        <v>1</v>
      </c>
      <c r="H6937">
        <v>2023</v>
      </c>
      <c r="I6937" t="s">
        <v>7052</v>
      </c>
    </row>
    <row r="6938" spans="1:9" x14ac:dyDescent="0.3">
      <c r="A6938" t="s">
        <v>10126</v>
      </c>
      <c r="B6938" t="s">
        <v>18</v>
      </c>
      <c r="C6938">
        <v>7648876604</v>
      </c>
      <c r="D6938" s="2">
        <v>1</v>
      </c>
      <c r="E6938" t="str">
        <f>"4574674200861847"</f>
        <v>4574674200861847</v>
      </c>
      <c r="F6938" t="str">
        <f>"756"</f>
        <v>756</v>
      </c>
      <c r="G6938">
        <v>1</v>
      </c>
      <c r="H6938">
        <v>2023</v>
      </c>
      <c r="I6938" t="s">
        <v>7053</v>
      </c>
    </row>
    <row r="6939" spans="1:9" x14ac:dyDescent="0.3">
      <c r="A6939" t="s">
        <v>10126</v>
      </c>
      <c r="B6939" t="s">
        <v>18</v>
      </c>
      <c r="C6939">
        <v>7648876604</v>
      </c>
      <c r="D6939" s="2">
        <v>1</v>
      </c>
      <c r="E6939" t="str">
        <f>"4574674200861839"</f>
        <v>4574674200861839</v>
      </c>
      <c r="F6939" t="str">
        <f>"614"</f>
        <v>614</v>
      </c>
      <c r="G6939">
        <v>1</v>
      </c>
      <c r="H6939">
        <v>2023</v>
      </c>
      <c r="I6939" t="s">
        <v>7054</v>
      </c>
    </row>
    <row r="6940" spans="1:9" x14ac:dyDescent="0.3">
      <c r="A6940" t="s">
        <v>10126</v>
      </c>
      <c r="B6940" t="s">
        <v>18</v>
      </c>
      <c r="C6940">
        <v>7648876604</v>
      </c>
      <c r="D6940" s="2">
        <v>1</v>
      </c>
      <c r="E6940" t="str">
        <f>"4574674200861854"</f>
        <v>4574674200861854</v>
      </c>
      <c r="F6940" t="str">
        <f>"905"</f>
        <v>905</v>
      </c>
      <c r="G6940">
        <v>1</v>
      </c>
      <c r="H6940">
        <v>2023</v>
      </c>
      <c r="I6940" t="s">
        <v>7055</v>
      </c>
    </row>
    <row r="6941" spans="1:9" x14ac:dyDescent="0.3">
      <c r="A6941" t="s">
        <v>10126</v>
      </c>
      <c r="B6941" t="s">
        <v>18</v>
      </c>
      <c r="C6941">
        <v>7648876604</v>
      </c>
      <c r="D6941" s="2">
        <v>1</v>
      </c>
      <c r="E6941" t="str">
        <f>"4574674200862035"</f>
        <v>4574674200862035</v>
      </c>
      <c r="F6941" t="str">
        <f>"889"</f>
        <v>889</v>
      </c>
      <c r="G6941">
        <v>1</v>
      </c>
      <c r="H6941">
        <v>2023</v>
      </c>
      <c r="I6941" t="s">
        <v>7056</v>
      </c>
    </row>
    <row r="6942" spans="1:9" x14ac:dyDescent="0.3">
      <c r="A6942" t="s">
        <v>10126</v>
      </c>
      <c r="B6942" t="s">
        <v>18</v>
      </c>
      <c r="C6942">
        <v>7648876604</v>
      </c>
      <c r="D6942" s="2">
        <v>1</v>
      </c>
      <c r="E6942" t="str">
        <f>"4574674200861912"</f>
        <v>4574674200861912</v>
      </c>
      <c r="F6942" t="str">
        <f>"415"</f>
        <v>415</v>
      </c>
      <c r="G6942">
        <v>1</v>
      </c>
      <c r="H6942">
        <v>2023</v>
      </c>
      <c r="I6942" t="s">
        <v>7057</v>
      </c>
    </row>
    <row r="6943" spans="1:9" x14ac:dyDescent="0.3">
      <c r="A6943" t="s">
        <v>10126</v>
      </c>
      <c r="B6943" t="s">
        <v>18</v>
      </c>
      <c r="C6943">
        <v>7648876604</v>
      </c>
      <c r="D6943" s="2">
        <v>1</v>
      </c>
      <c r="E6943" t="str">
        <f>"4574674200861904"</f>
        <v>4574674200861904</v>
      </c>
      <c r="F6943" t="str">
        <f>"873"</f>
        <v>873</v>
      </c>
      <c r="G6943">
        <v>1</v>
      </c>
      <c r="H6943">
        <v>2023</v>
      </c>
      <c r="I6943" t="s">
        <v>7058</v>
      </c>
    </row>
    <row r="6944" spans="1:9" x14ac:dyDescent="0.3">
      <c r="A6944" t="s">
        <v>10126</v>
      </c>
      <c r="B6944" t="s">
        <v>18</v>
      </c>
      <c r="C6944">
        <v>7648876604</v>
      </c>
      <c r="D6944" s="2">
        <v>1</v>
      </c>
      <c r="E6944" t="str">
        <f>"4574674200862118"</f>
        <v>4574674200862118</v>
      </c>
      <c r="F6944" t="str">
        <f>"044"</f>
        <v>044</v>
      </c>
      <c r="G6944">
        <v>1</v>
      </c>
      <c r="H6944">
        <v>2023</v>
      </c>
      <c r="I6944" t="s">
        <v>7059</v>
      </c>
    </row>
    <row r="6945" spans="1:9" x14ac:dyDescent="0.3">
      <c r="A6945" t="s">
        <v>10126</v>
      </c>
      <c r="B6945" t="s">
        <v>18</v>
      </c>
      <c r="C6945">
        <v>7648876604</v>
      </c>
      <c r="D6945" s="2">
        <v>1</v>
      </c>
      <c r="E6945" t="str">
        <f>"4574674200861938"</f>
        <v>4574674200861938</v>
      </c>
      <c r="F6945" t="str">
        <f>"315"</f>
        <v>315</v>
      </c>
      <c r="G6945">
        <v>1</v>
      </c>
      <c r="H6945">
        <v>2023</v>
      </c>
      <c r="I6945" t="s">
        <v>7060</v>
      </c>
    </row>
    <row r="6946" spans="1:9" x14ac:dyDescent="0.3">
      <c r="A6946" t="s">
        <v>10126</v>
      </c>
      <c r="B6946" t="s">
        <v>18</v>
      </c>
      <c r="C6946">
        <v>7648876604</v>
      </c>
      <c r="D6946" s="2">
        <v>1</v>
      </c>
      <c r="E6946" t="str">
        <f>"4574674200861979"</f>
        <v>4574674200861979</v>
      </c>
      <c r="F6946" t="str">
        <f>"305"</f>
        <v>305</v>
      </c>
      <c r="G6946">
        <v>1</v>
      </c>
      <c r="H6946">
        <v>2023</v>
      </c>
      <c r="I6946" t="s">
        <v>7061</v>
      </c>
    </row>
    <row r="6947" spans="1:9" x14ac:dyDescent="0.3">
      <c r="A6947" t="s">
        <v>10127</v>
      </c>
      <c r="B6947" t="s">
        <v>19</v>
      </c>
      <c r="C6947">
        <v>7648876604</v>
      </c>
      <c r="D6947" s="2">
        <v>1</v>
      </c>
      <c r="E6947" t="str">
        <f>"4574674200861995"</f>
        <v>4574674200861995</v>
      </c>
      <c r="F6947" t="str">
        <f>"111"</f>
        <v>111</v>
      </c>
      <c r="G6947">
        <v>1</v>
      </c>
      <c r="H6947">
        <v>2023</v>
      </c>
      <c r="I6947" t="s">
        <v>7062</v>
      </c>
    </row>
    <row r="6948" spans="1:9" x14ac:dyDescent="0.3">
      <c r="A6948" t="s">
        <v>10127</v>
      </c>
      <c r="B6948" t="s">
        <v>19</v>
      </c>
      <c r="C6948">
        <v>7648876604</v>
      </c>
      <c r="D6948" s="2">
        <v>1</v>
      </c>
      <c r="E6948" t="str">
        <f>"4574674200862415"</f>
        <v>4574674200862415</v>
      </c>
      <c r="F6948" t="str">
        <f>"070"</f>
        <v>070</v>
      </c>
      <c r="G6948">
        <v>1</v>
      </c>
      <c r="H6948">
        <v>2023</v>
      </c>
      <c r="I6948" t="s">
        <v>7063</v>
      </c>
    </row>
    <row r="6949" spans="1:9" x14ac:dyDescent="0.3">
      <c r="A6949" t="s">
        <v>10127</v>
      </c>
      <c r="B6949" t="s">
        <v>19</v>
      </c>
      <c r="C6949">
        <v>7648876604</v>
      </c>
      <c r="D6949" s="2">
        <v>1</v>
      </c>
      <c r="E6949" t="str">
        <f>"4574674200862373"</f>
        <v>4574674200862373</v>
      </c>
      <c r="F6949" t="str">
        <f>"939"</f>
        <v>939</v>
      </c>
      <c r="G6949">
        <v>1</v>
      </c>
      <c r="H6949">
        <v>2023</v>
      </c>
      <c r="I6949" t="s">
        <v>7064</v>
      </c>
    </row>
    <row r="6950" spans="1:9" x14ac:dyDescent="0.3">
      <c r="A6950" t="s">
        <v>10127</v>
      </c>
      <c r="B6950" t="s">
        <v>19</v>
      </c>
      <c r="C6950">
        <v>7648876604</v>
      </c>
      <c r="D6950" s="2">
        <v>1</v>
      </c>
      <c r="E6950" t="str">
        <f>"4574674200862589"</f>
        <v>4574674200862589</v>
      </c>
      <c r="F6950" t="str">
        <f>"205"</f>
        <v>205</v>
      </c>
      <c r="G6950">
        <v>1</v>
      </c>
      <c r="H6950">
        <v>2023</v>
      </c>
      <c r="I6950" t="s">
        <v>7065</v>
      </c>
    </row>
    <row r="6951" spans="1:9" x14ac:dyDescent="0.3">
      <c r="A6951" t="s">
        <v>10127</v>
      </c>
      <c r="B6951" t="s">
        <v>19</v>
      </c>
      <c r="C6951">
        <v>7648876604</v>
      </c>
      <c r="D6951" s="2">
        <v>1</v>
      </c>
      <c r="E6951" t="str">
        <f>"4574674200862662"</f>
        <v>4574674200862662</v>
      </c>
      <c r="F6951" t="str">
        <f>"872"</f>
        <v>872</v>
      </c>
      <c r="G6951">
        <v>1</v>
      </c>
      <c r="H6951">
        <v>2023</v>
      </c>
      <c r="I6951" t="s">
        <v>7066</v>
      </c>
    </row>
    <row r="6952" spans="1:9" x14ac:dyDescent="0.3">
      <c r="A6952" t="s">
        <v>10127</v>
      </c>
      <c r="B6952" t="s">
        <v>19</v>
      </c>
      <c r="C6952">
        <v>7648876604</v>
      </c>
      <c r="D6952" s="2">
        <v>1</v>
      </c>
      <c r="E6952" t="str">
        <f>"4574674200862936"</f>
        <v>4574674200862936</v>
      </c>
      <c r="F6952" t="str">
        <f>"254"</f>
        <v>254</v>
      </c>
      <c r="G6952">
        <v>1</v>
      </c>
      <c r="H6952">
        <v>2023</v>
      </c>
      <c r="I6952" t="s">
        <v>7067</v>
      </c>
    </row>
    <row r="6953" spans="1:9" x14ac:dyDescent="0.3">
      <c r="A6953" t="s">
        <v>10127</v>
      </c>
      <c r="B6953" t="s">
        <v>19</v>
      </c>
      <c r="C6953">
        <v>7648876604</v>
      </c>
      <c r="D6953" s="2">
        <v>1</v>
      </c>
      <c r="E6953" t="str">
        <f>"4574674200862720"</f>
        <v>4574674200862720</v>
      </c>
      <c r="F6953" t="str">
        <f>"406"</f>
        <v>406</v>
      </c>
      <c r="G6953">
        <v>1</v>
      </c>
      <c r="H6953">
        <v>2023</v>
      </c>
      <c r="I6953" t="s">
        <v>7068</v>
      </c>
    </row>
    <row r="6954" spans="1:9" x14ac:dyDescent="0.3">
      <c r="A6954" t="s">
        <v>10127</v>
      </c>
      <c r="B6954" t="s">
        <v>19</v>
      </c>
      <c r="C6954">
        <v>7648876604</v>
      </c>
      <c r="D6954" s="2">
        <v>1</v>
      </c>
      <c r="E6954" t="str">
        <f>"4574674200862753"</f>
        <v>4574674200862753</v>
      </c>
      <c r="F6954" t="str">
        <f>"774"</f>
        <v>774</v>
      </c>
      <c r="G6954">
        <v>1</v>
      </c>
      <c r="H6954">
        <v>2023</v>
      </c>
      <c r="I6954" t="s">
        <v>7069</v>
      </c>
    </row>
    <row r="6955" spans="1:9" x14ac:dyDescent="0.3">
      <c r="A6955" t="s">
        <v>10127</v>
      </c>
      <c r="B6955" t="s">
        <v>19</v>
      </c>
      <c r="C6955">
        <v>7648876604</v>
      </c>
      <c r="D6955" s="2">
        <v>1</v>
      </c>
      <c r="E6955" t="str">
        <f>"4574674200863223"</f>
        <v>4574674200863223</v>
      </c>
      <c r="F6955" t="str">
        <f>"671"</f>
        <v>671</v>
      </c>
      <c r="G6955">
        <v>1</v>
      </c>
      <c r="H6955">
        <v>2023</v>
      </c>
      <c r="I6955" t="s">
        <v>7070</v>
      </c>
    </row>
    <row r="6956" spans="1:9" x14ac:dyDescent="0.3">
      <c r="A6956" t="s">
        <v>10127</v>
      </c>
      <c r="B6956" t="s">
        <v>19</v>
      </c>
      <c r="C6956">
        <v>7648876604</v>
      </c>
      <c r="D6956" s="2">
        <v>1</v>
      </c>
      <c r="E6956" t="str">
        <f>"4574674200863207"</f>
        <v>4574674200863207</v>
      </c>
      <c r="F6956" t="str">
        <f>"502"</f>
        <v>502</v>
      </c>
      <c r="G6956">
        <v>1</v>
      </c>
      <c r="H6956">
        <v>2023</v>
      </c>
      <c r="I6956" t="s">
        <v>7071</v>
      </c>
    </row>
    <row r="6957" spans="1:9" x14ac:dyDescent="0.3">
      <c r="A6957" t="s">
        <v>10128</v>
      </c>
      <c r="B6957" t="s">
        <v>20</v>
      </c>
      <c r="C6957">
        <v>7648876604</v>
      </c>
      <c r="D6957" s="2">
        <v>1</v>
      </c>
      <c r="E6957" t="str">
        <f>"4574674200863074"</f>
        <v>4574674200863074</v>
      </c>
      <c r="F6957" t="str">
        <f>"471"</f>
        <v>471</v>
      </c>
      <c r="G6957">
        <v>1</v>
      </c>
      <c r="H6957">
        <v>2023</v>
      </c>
      <c r="I6957" t="s">
        <v>7072</v>
      </c>
    </row>
    <row r="6958" spans="1:9" x14ac:dyDescent="0.3">
      <c r="A6958" t="s">
        <v>10128</v>
      </c>
      <c r="B6958" t="s">
        <v>20</v>
      </c>
      <c r="C6958">
        <v>7648876604</v>
      </c>
      <c r="D6958" s="2">
        <v>1</v>
      </c>
      <c r="E6958" t="str">
        <f>"4574674200863090"</f>
        <v>4574674200863090</v>
      </c>
      <c r="F6958" t="str">
        <f>"794"</f>
        <v>794</v>
      </c>
      <c r="G6958">
        <v>1</v>
      </c>
      <c r="H6958">
        <v>2023</v>
      </c>
      <c r="I6958" t="s">
        <v>7073</v>
      </c>
    </row>
    <row r="6959" spans="1:9" x14ac:dyDescent="0.3">
      <c r="A6959" t="s">
        <v>10128</v>
      </c>
      <c r="B6959" t="s">
        <v>20</v>
      </c>
      <c r="C6959">
        <v>7648876604</v>
      </c>
      <c r="D6959" s="2">
        <v>1</v>
      </c>
      <c r="E6959" t="str">
        <f>"4574674200863116"</f>
        <v>4574674200863116</v>
      </c>
      <c r="F6959" t="str">
        <f>"740"</f>
        <v>740</v>
      </c>
      <c r="G6959">
        <v>1</v>
      </c>
      <c r="H6959">
        <v>2023</v>
      </c>
      <c r="I6959" t="s">
        <v>7074</v>
      </c>
    </row>
    <row r="6960" spans="1:9" x14ac:dyDescent="0.3">
      <c r="A6960" t="s">
        <v>10128</v>
      </c>
      <c r="B6960" t="s">
        <v>20</v>
      </c>
      <c r="C6960">
        <v>7648876604</v>
      </c>
      <c r="D6960" s="2">
        <v>1</v>
      </c>
      <c r="E6960" t="str">
        <f>"4574674200863264"</f>
        <v>4574674200863264</v>
      </c>
      <c r="F6960" t="str">
        <f>"079"</f>
        <v>079</v>
      </c>
      <c r="G6960">
        <v>1</v>
      </c>
      <c r="H6960">
        <v>2023</v>
      </c>
      <c r="I6960" t="s">
        <v>7075</v>
      </c>
    </row>
    <row r="6961" spans="1:9" x14ac:dyDescent="0.3">
      <c r="A6961" t="s">
        <v>10128</v>
      </c>
      <c r="B6961" t="s">
        <v>20</v>
      </c>
      <c r="C6961">
        <v>7648876604</v>
      </c>
      <c r="D6961" s="2">
        <v>1</v>
      </c>
      <c r="E6961" t="str">
        <f>"4574674200863256"</f>
        <v>4574674200863256</v>
      </c>
      <c r="F6961" t="str">
        <f>"202"</f>
        <v>202</v>
      </c>
      <c r="G6961">
        <v>1</v>
      </c>
      <c r="H6961">
        <v>2023</v>
      </c>
      <c r="I6961" t="s">
        <v>7076</v>
      </c>
    </row>
    <row r="6962" spans="1:9" x14ac:dyDescent="0.3">
      <c r="A6962" t="s">
        <v>10128</v>
      </c>
      <c r="B6962" t="s">
        <v>20</v>
      </c>
      <c r="C6962">
        <v>7648876604</v>
      </c>
      <c r="D6962" s="2">
        <v>1</v>
      </c>
      <c r="E6962" t="str">
        <f>"4574674200863280"</f>
        <v>4574674200863280</v>
      </c>
      <c r="F6962" t="str">
        <f>"094"</f>
        <v>094</v>
      </c>
      <c r="G6962">
        <v>1</v>
      </c>
      <c r="H6962">
        <v>2023</v>
      </c>
      <c r="I6962" t="s">
        <v>7077</v>
      </c>
    </row>
    <row r="6963" spans="1:9" x14ac:dyDescent="0.3">
      <c r="A6963" t="s">
        <v>10128</v>
      </c>
      <c r="B6963" t="s">
        <v>20</v>
      </c>
      <c r="C6963">
        <v>7648876604</v>
      </c>
      <c r="D6963" s="2">
        <v>1</v>
      </c>
      <c r="E6963" t="str">
        <f>"4574674200863181"</f>
        <v>4574674200863181</v>
      </c>
      <c r="F6963" t="str">
        <f>"655"</f>
        <v>655</v>
      </c>
      <c r="G6963">
        <v>1</v>
      </c>
      <c r="H6963">
        <v>2023</v>
      </c>
      <c r="I6963" t="s">
        <v>7078</v>
      </c>
    </row>
    <row r="6964" spans="1:9" x14ac:dyDescent="0.3">
      <c r="A6964" t="s">
        <v>10128</v>
      </c>
      <c r="B6964" t="s">
        <v>20</v>
      </c>
      <c r="C6964">
        <v>7648876604</v>
      </c>
      <c r="D6964" s="2">
        <v>1</v>
      </c>
      <c r="E6964" t="str">
        <f>"4574674200863413"</f>
        <v>4574674200863413</v>
      </c>
      <c r="F6964" t="str">
        <f>"109"</f>
        <v>109</v>
      </c>
      <c r="G6964">
        <v>1</v>
      </c>
      <c r="H6964">
        <v>2023</v>
      </c>
      <c r="I6964" t="s">
        <v>7079</v>
      </c>
    </row>
    <row r="6965" spans="1:9" x14ac:dyDescent="0.3">
      <c r="A6965" t="s">
        <v>10128</v>
      </c>
      <c r="B6965" t="s">
        <v>20</v>
      </c>
      <c r="C6965">
        <v>7648876604</v>
      </c>
      <c r="D6965" s="2">
        <v>1</v>
      </c>
      <c r="E6965" t="str">
        <f>"4574674200863488"</f>
        <v>4574674200863488</v>
      </c>
      <c r="F6965" t="str">
        <f>"708"</f>
        <v>708</v>
      </c>
      <c r="G6965">
        <v>1</v>
      </c>
      <c r="H6965">
        <v>2023</v>
      </c>
      <c r="I6965" t="s">
        <v>7080</v>
      </c>
    </row>
    <row r="6966" spans="1:9" x14ac:dyDescent="0.3">
      <c r="A6966" t="s">
        <v>10128</v>
      </c>
      <c r="B6966" t="s">
        <v>20</v>
      </c>
      <c r="C6966">
        <v>7648876604</v>
      </c>
      <c r="D6966" s="2">
        <v>1</v>
      </c>
      <c r="E6966" t="str">
        <f>"4574674200863348"</f>
        <v>4574674200863348</v>
      </c>
      <c r="F6966" t="str">
        <f>"560"</f>
        <v>560</v>
      </c>
      <c r="G6966">
        <v>1</v>
      </c>
      <c r="H6966">
        <v>2023</v>
      </c>
      <c r="I6966" t="s">
        <v>7081</v>
      </c>
    </row>
    <row r="6967" spans="1:9" x14ac:dyDescent="0.3">
      <c r="A6967" t="s">
        <v>10129</v>
      </c>
      <c r="B6967" t="s">
        <v>21</v>
      </c>
      <c r="C6967">
        <v>7648876604</v>
      </c>
      <c r="D6967" s="2">
        <v>1</v>
      </c>
      <c r="E6967" t="str">
        <f>"4574674200863355"</f>
        <v>4574674200863355</v>
      </c>
      <c r="F6967" t="str">
        <f>"349"</f>
        <v>349</v>
      </c>
      <c r="G6967">
        <v>1</v>
      </c>
      <c r="H6967">
        <v>2023</v>
      </c>
      <c r="I6967" t="s">
        <v>7082</v>
      </c>
    </row>
    <row r="6968" spans="1:9" x14ac:dyDescent="0.3">
      <c r="A6968" t="s">
        <v>10129</v>
      </c>
      <c r="B6968" t="s">
        <v>21</v>
      </c>
      <c r="C6968">
        <v>7648876604</v>
      </c>
      <c r="D6968" s="2">
        <v>1</v>
      </c>
      <c r="E6968" t="str">
        <f>"4574674200863397"</f>
        <v>4574674200863397</v>
      </c>
      <c r="F6968" t="str">
        <f>"995"</f>
        <v>995</v>
      </c>
      <c r="G6968">
        <v>1</v>
      </c>
      <c r="H6968">
        <v>2023</v>
      </c>
      <c r="I6968" t="s">
        <v>7083</v>
      </c>
    </row>
    <row r="6969" spans="1:9" x14ac:dyDescent="0.3">
      <c r="A6969" t="s">
        <v>10129</v>
      </c>
      <c r="B6969" t="s">
        <v>21</v>
      </c>
      <c r="C6969">
        <v>7648876604</v>
      </c>
      <c r="D6969" s="2">
        <v>1</v>
      </c>
      <c r="E6969" t="str">
        <f>"4574674200863603"</f>
        <v>4574674200863603</v>
      </c>
      <c r="F6969" t="str">
        <f>"772"</f>
        <v>772</v>
      </c>
      <c r="G6969">
        <v>1</v>
      </c>
      <c r="H6969">
        <v>2023</v>
      </c>
      <c r="I6969" t="s">
        <v>7084</v>
      </c>
    </row>
    <row r="6970" spans="1:9" x14ac:dyDescent="0.3">
      <c r="A6970" t="s">
        <v>10129</v>
      </c>
      <c r="B6970" t="s">
        <v>21</v>
      </c>
      <c r="C6970">
        <v>7648876604</v>
      </c>
      <c r="D6970" s="2">
        <v>1</v>
      </c>
      <c r="E6970" t="str">
        <f>"4574674200863629"</f>
        <v>4574674200863629</v>
      </c>
      <c r="F6970" t="str">
        <f>"632"</f>
        <v>632</v>
      </c>
      <c r="G6970">
        <v>1</v>
      </c>
      <c r="H6970">
        <v>2023</v>
      </c>
      <c r="I6970" t="s">
        <v>7085</v>
      </c>
    </row>
    <row r="6971" spans="1:9" x14ac:dyDescent="0.3">
      <c r="A6971" t="s">
        <v>10129</v>
      </c>
      <c r="B6971" t="s">
        <v>21</v>
      </c>
      <c r="C6971">
        <v>7648876604</v>
      </c>
      <c r="D6971" s="2">
        <v>1</v>
      </c>
      <c r="E6971" t="str">
        <f>"4574674200863645"</f>
        <v>4574674200863645</v>
      </c>
      <c r="F6971" t="str">
        <f>"241"</f>
        <v>241</v>
      </c>
      <c r="G6971">
        <v>1</v>
      </c>
      <c r="H6971">
        <v>2023</v>
      </c>
      <c r="I6971" t="s">
        <v>7086</v>
      </c>
    </row>
    <row r="6972" spans="1:9" x14ac:dyDescent="0.3">
      <c r="A6972" t="s">
        <v>10129</v>
      </c>
      <c r="B6972" t="s">
        <v>21</v>
      </c>
      <c r="C6972">
        <v>7648876604</v>
      </c>
      <c r="D6972" s="2">
        <v>1</v>
      </c>
      <c r="E6972" t="str">
        <f>"4574674200863868"</f>
        <v>4574674200863868</v>
      </c>
      <c r="F6972" t="str">
        <f>"283"</f>
        <v>283</v>
      </c>
      <c r="G6972">
        <v>1</v>
      </c>
      <c r="H6972">
        <v>2023</v>
      </c>
      <c r="I6972" t="s">
        <v>7087</v>
      </c>
    </row>
    <row r="6973" spans="1:9" x14ac:dyDescent="0.3">
      <c r="A6973" t="s">
        <v>10129</v>
      </c>
      <c r="B6973" t="s">
        <v>21</v>
      </c>
      <c r="C6973">
        <v>7648876604</v>
      </c>
      <c r="D6973" s="2">
        <v>1</v>
      </c>
      <c r="E6973" t="str">
        <f>"4574674200863850"</f>
        <v>4574674200863850</v>
      </c>
      <c r="F6973" t="str">
        <f>"249"</f>
        <v>249</v>
      </c>
      <c r="G6973">
        <v>1</v>
      </c>
      <c r="H6973">
        <v>2023</v>
      </c>
      <c r="I6973" t="s">
        <v>7088</v>
      </c>
    </row>
    <row r="6974" spans="1:9" x14ac:dyDescent="0.3">
      <c r="A6974" t="s">
        <v>10129</v>
      </c>
      <c r="B6974" t="s">
        <v>21</v>
      </c>
      <c r="C6974">
        <v>7648876604</v>
      </c>
      <c r="D6974" s="2">
        <v>1</v>
      </c>
      <c r="E6974" t="str">
        <f>"4574674200863876"</f>
        <v>4574674200863876</v>
      </c>
      <c r="F6974" t="str">
        <f>"369"</f>
        <v>369</v>
      </c>
      <c r="G6974">
        <v>1</v>
      </c>
      <c r="H6974">
        <v>2023</v>
      </c>
      <c r="I6974" t="s">
        <v>7089</v>
      </c>
    </row>
    <row r="6975" spans="1:9" x14ac:dyDescent="0.3">
      <c r="A6975" t="s">
        <v>10129</v>
      </c>
      <c r="B6975" t="s">
        <v>21</v>
      </c>
      <c r="C6975">
        <v>7648876604</v>
      </c>
      <c r="D6975" s="2">
        <v>1</v>
      </c>
      <c r="E6975" t="str">
        <f>"4574674200863900"</f>
        <v>4574674200863900</v>
      </c>
      <c r="F6975" t="str">
        <f>"952"</f>
        <v>952</v>
      </c>
      <c r="G6975">
        <v>1</v>
      </c>
      <c r="H6975">
        <v>2023</v>
      </c>
      <c r="I6975" t="s">
        <v>7090</v>
      </c>
    </row>
    <row r="6976" spans="1:9" x14ac:dyDescent="0.3">
      <c r="A6976" t="s">
        <v>10129</v>
      </c>
      <c r="B6976" t="s">
        <v>21</v>
      </c>
      <c r="C6976">
        <v>7648876604</v>
      </c>
      <c r="D6976" s="2">
        <v>1</v>
      </c>
      <c r="E6976" t="str">
        <f>"4574674200863793"</f>
        <v>4574674200863793</v>
      </c>
      <c r="F6976" t="str">
        <f>"431"</f>
        <v>431</v>
      </c>
      <c r="G6976">
        <v>1</v>
      </c>
      <c r="H6976">
        <v>2023</v>
      </c>
      <c r="I6976" t="s">
        <v>7091</v>
      </c>
    </row>
    <row r="6977" spans="1:9" x14ac:dyDescent="0.3">
      <c r="A6977" t="s">
        <v>10130</v>
      </c>
      <c r="B6977" t="s">
        <v>22</v>
      </c>
      <c r="C6977">
        <v>7648876604</v>
      </c>
      <c r="D6977" s="2">
        <v>1</v>
      </c>
      <c r="E6977" t="str">
        <f>"4574674200863777"</f>
        <v>4574674200863777</v>
      </c>
      <c r="F6977" t="str">
        <f>"130"</f>
        <v>130</v>
      </c>
      <c r="G6977">
        <v>1</v>
      </c>
      <c r="H6977">
        <v>2023</v>
      </c>
      <c r="I6977" t="s">
        <v>7092</v>
      </c>
    </row>
    <row r="6978" spans="1:9" x14ac:dyDescent="0.3">
      <c r="A6978" t="s">
        <v>10130</v>
      </c>
      <c r="B6978" t="s">
        <v>22</v>
      </c>
      <c r="C6978">
        <v>7648876604</v>
      </c>
      <c r="D6978" s="2">
        <v>1</v>
      </c>
      <c r="E6978" t="str">
        <f>"4574674200864015"</f>
        <v>4574674200864015</v>
      </c>
      <c r="F6978" t="str">
        <f>"153"</f>
        <v>153</v>
      </c>
      <c r="G6978">
        <v>1</v>
      </c>
      <c r="H6978">
        <v>2023</v>
      </c>
      <c r="I6978" t="s">
        <v>7093</v>
      </c>
    </row>
    <row r="6979" spans="1:9" x14ac:dyDescent="0.3">
      <c r="A6979" t="s">
        <v>10130</v>
      </c>
      <c r="B6979" t="s">
        <v>22</v>
      </c>
      <c r="C6979">
        <v>7648876604</v>
      </c>
      <c r="D6979" s="2">
        <v>1</v>
      </c>
      <c r="E6979" t="str">
        <f>"4574674200863991"</f>
        <v>4574674200863991</v>
      </c>
      <c r="F6979" t="str">
        <f>"849"</f>
        <v>849</v>
      </c>
      <c r="G6979">
        <v>1</v>
      </c>
      <c r="H6979">
        <v>2023</v>
      </c>
      <c r="I6979" t="s">
        <v>7094</v>
      </c>
    </row>
    <row r="6980" spans="1:9" x14ac:dyDescent="0.3">
      <c r="A6980" t="s">
        <v>10130</v>
      </c>
      <c r="B6980" t="s">
        <v>22</v>
      </c>
      <c r="C6980">
        <v>7648876604</v>
      </c>
      <c r="D6980" s="2">
        <v>1</v>
      </c>
      <c r="E6980" t="str">
        <f>"4574674200863975"</f>
        <v>4574674200863975</v>
      </c>
      <c r="F6980" t="str">
        <f>"569"</f>
        <v>569</v>
      </c>
      <c r="G6980">
        <v>1</v>
      </c>
      <c r="H6980">
        <v>2023</v>
      </c>
      <c r="I6980" t="s">
        <v>7095</v>
      </c>
    </row>
    <row r="6981" spans="1:9" x14ac:dyDescent="0.3">
      <c r="A6981" t="s">
        <v>10130</v>
      </c>
      <c r="B6981" t="s">
        <v>22</v>
      </c>
      <c r="C6981">
        <v>7648876604</v>
      </c>
      <c r="D6981" s="2">
        <v>1</v>
      </c>
      <c r="E6981" t="str">
        <f>"4574674200863983"</f>
        <v>4574674200863983</v>
      </c>
      <c r="F6981" t="str">
        <f>"611"</f>
        <v>611</v>
      </c>
      <c r="G6981">
        <v>1</v>
      </c>
      <c r="H6981">
        <v>2023</v>
      </c>
      <c r="I6981" t="s">
        <v>7096</v>
      </c>
    </row>
    <row r="6982" spans="1:9" x14ac:dyDescent="0.3">
      <c r="A6982" t="s">
        <v>10130</v>
      </c>
      <c r="B6982" t="s">
        <v>22</v>
      </c>
      <c r="C6982">
        <v>7648876604</v>
      </c>
      <c r="D6982" s="2">
        <v>1</v>
      </c>
      <c r="E6982" t="str">
        <f>"4574674200864148"</f>
        <v>4574674200864148</v>
      </c>
      <c r="F6982" t="str">
        <f>"036"</f>
        <v>036</v>
      </c>
      <c r="G6982">
        <v>1</v>
      </c>
      <c r="H6982">
        <v>2023</v>
      </c>
      <c r="I6982" t="s">
        <v>7097</v>
      </c>
    </row>
    <row r="6983" spans="1:9" x14ac:dyDescent="0.3">
      <c r="A6983" t="s">
        <v>10130</v>
      </c>
      <c r="B6983" t="s">
        <v>22</v>
      </c>
      <c r="C6983">
        <v>7648876604</v>
      </c>
      <c r="D6983" s="2">
        <v>1</v>
      </c>
      <c r="E6983" t="str">
        <f>"4574674200864155"</f>
        <v>4574674200864155</v>
      </c>
      <c r="F6983" t="str">
        <f>"861"</f>
        <v>861</v>
      </c>
      <c r="G6983">
        <v>1</v>
      </c>
      <c r="H6983">
        <v>2023</v>
      </c>
      <c r="I6983" t="s">
        <v>7098</v>
      </c>
    </row>
    <row r="6984" spans="1:9" x14ac:dyDescent="0.3">
      <c r="A6984" t="s">
        <v>10130</v>
      </c>
      <c r="B6984" t="s">
        <v>22</v>
      </c>
      <c r="C6984">
        <v>7648876604</v>
      </c>
      <c r="D6984" s="2">
        <v>1</v>
      </c>
      <c r="E6984" t="str">
        <f>"4574674200864163"</f>
        <v>4574674200864163</v>
      </c>
      <c r="F6984" t="str">
        <f>"805"</f>
        <v>805</v>
      </c>
      <c r="G6984">
        <v>1</v>
      </c>
      <c r="H6984">
        <v>2023</v>
      </c>
      <c r="I6984" t="s">
        <v>7099</v>
      </c>
    </row>
    <row r="6985" spans="1:9" x14ac:dyDescent="0.3">
      <c r="A6985" t="s">
        <v>10130</v>
      </c>
      <c r="B6985" t="s">
        <v>22</v>
      </c>
      <c r="C6985">
        <v>7648876604</v>
      </c>
      <c r="D6985" s="2">
        <v>1</v>
      </c>
      <c r="E6985" t="str">
        <f>"4574674200864221"</f>
        <v>4574674200864221</v>
      </c>
      <c r="F6985" t="str">
        <f>"052"</f>
        <v>052</v>
      </c>
      <c r="G6985">
        <v>1</v>
      </c>
      <c r="H6985">
        <v>2023</v>
      </c>
      <c r="I6985" t="s">
        <v>7100</v>
      </c>
    </row>
    <row r="6986" spans="1:9" x14ac:dyDescent="0.3">
      <c r="A6986" t="s">
        <v>10130</v>
      </c>
      <c r="B6986" t="s">
        <v>22</v>
      </c>
      <c r="C6986">
        <v>7648876604</v>
      </c>
      <c r="D6986" s="2">
        <v>1</v>
      </c>
      <c r="E6986" t="str">
        <f>"4574674200864502"</f>
        <v>4574674200864502</v>
      </c>
      <c r="F6986" t="str">
        <f>"795"</f>
        <v>795</v>
      </c>
      <c r="G6986">
        <v>1</v>
      </c>
      <c r="H6986">
        <v>2023</v>
      </c>
      <c r="I6986" t="s">
        <v>7101</v>
      </c>
    </row>
    <row r="6987" spans="1:9" x14ac:dyDescent="0.3">
      <c r="A6987" t="s">
        <v>10131</v>
      </c>
      <c r="B6987" t="s">
        <v>23</v>
      </c>
      <c r="C6987">
        <v>7648876604</v>
      </c>
      <c r="D6987" s="2">
        <v>1</v>
      </c>
      <c r="E6987" t="str">
        <f>"4574674200864510"</f>
        <v>4574674200864510</v>
      </c>
      <c r="F6987" t="str">
        <f>"080"</f>
        <v>080</v>
      </c>
      <c r="G6987">
        <v>1</v>
      </c>
      <c r="H6987">
        <v>2023</v>
      </c>
      <c r="I6987" t="s">
        <v>7102</v>
      </c>
    </row>
    <row r="6988" spans="1:9" x14ac:dyDescent="0.3">
      <c r="A6988" t="s">
        <v>10131</v>
      </c>
      <c r="B6988" t="s">
        <v>23</v>
      </c>
      <c r="C6988">
        <v>7648876604</v>
      </c>
      <c r="D6988" s="2">
        <v>1</v>
      </c>
      <c r="E6988" t="str">
        <f>"4574674200864528"</f>
        <v>4574674200864528</v>
      </c>
      <c r="F6988" t="str">
        <f>"556"</f>
        <v>556</v>
      </c>
      <c r="G6988">
        <v>1</v>
      </c>
      <c r="H6988">
        <v>2023</v>
      </c>
      <c r="I6988" t="s">
        <v>7103</v>
      </c>
    </row>
    <row r="6989" spans="1:9" x14ac:dyDescent="0.3">
      <c r="A6989" t="s">
        <v>10131</v>
      </c>
      <c r="B6989" t="s">
        <v>23</v>
      </c>
      <c r="C6989">
        <v>7648876604</v>
      </c>
      <c r="D6989" s="2">
        <v>1</v>
      </c>
      <c r="E6989" t="str">
        <f>"4574674200864288"</f>
        <v>4574674200864288</v>
      </c>
      <c r="F6989" t="str">
        <f>"327"</f>
        <v>327</v>
      </c>
      <c r="G6989">
        <v>1</v>
      </c>
      <c r="H6989">
        <v>2023</v>
      </c>
      <c r="I6989" t="s">
        <v>7104</v>
      </c>
    </row>
    <row r="6990" spans="1:9" x14ac:dyDescent="0.3">
      <c r="A6990" t="s">
        <v>10131</v>
      </c>
      <c r="B6990" t="s">
        <v>23</v>
      </c>
      <c r="C6990">
        <v>7648876604</v>
      </c>
      <c r="D6990" s="2">
        <v>1</v>
      </c>
      <c r="E6990" t="str">
        <f>"4574674200864312"</f>
        <v>4574674200864312</v>
      </c>
      <c r="F6990" t="str">
        <f>"719"</f>
        <v>719</v>
      </c>
      <c r="G6990">
        <v>1</v>
      </c>
      <c r="H6990">
        <v>2023</v>
      </c>
      <c r="I6990" t="s">
        <v>7105</v>
      </c>
    </row>
    <row r="6991" spans="1:9" x14ac:dyDescent="0.3">
      <c r="A6991" t="s">
        <v>10131</v>
      </c>
      <c r="B6991" t="s">
        <v>23</v>
      </c>
      <c r="C6991">
        <v>7648876604</v>
      </c>
      <c r="D6991" s="2">
        <v>1</v>
      </c>
      <c r="E6991" t="str">
        <f>"4574674200864304"</f>
        <v>4574674200864304</v>
      </c>
      <c r="F6991" t="str">
        <f>"011"</f>
        <v>011</v>
      </c>
      <c r="G6991">
        <v>1</v>
      </c>
      <c r="H6991">
        <v>2023</v>
      </c>
      <c r="I6991" t="s">
        <v>7106</v>
      </c>
    </row>
    <row r="6992" spans="1:9" x14ac:dyDescent="0.3">
      <c r="A6992" t="s">
        <v>10131</v>
      </c>
      <c r="B6992" t="s">
        <v>23</v>
      </c>
      <c r="C6992">
        <v>7648876604</v>
      </c>
      <c r="D6992" s="2">
        <v>1</v>
      </c>
      <c r="E6992" t="str">
        <f>"4574674200864338"</f>
        <v>4574674200864338</v>
      </c>
      <c r="F6992" t="str">
        <f>"882"</f>
        <v>882</v>
      </c>
      <c r="G6992">
        <v>1</v>
      </c>
      <c r="H6992">
        <v>2023</v>
      </c>
      <c r="I6992" t="s">
        <v>7107</v>
      </c>
    </row>
    <row r="6993" spans="1:9" x14ac:dyDescent="0.3">
      <c r="A6993" t="s">
        <v>10131</v>
      </c>
      <c r="B6993" t="s">
        <v>23</v>
      </c>
      <c r="C6993">
        <v>7648876604</v>
      </c>
      <c r="D6993" s="2">
        <v>1</v>
      </c>
      <c r="E6993" t="str">
        <f>"4574674200864650"</f>
        <v>4574674200864650</v>
      </c>
      <c r="F6993" t="str">
        <f>"387"</f>
        <v>387</v>
      </c>
      <c r="G6993">
        <v>1</v>
      </c>
      <c r="H6993">
        <v>2023</v>
      </c>
      <c r="I6993" t="s">
        <v>7108</v>
      </c>
    </row>
    <row r="6994" spans="1:9" x14ac:dyDescent="0.3">
      <c r="A6994" t="s">
        <v>10131</v>
      </c>
      <c r="B6994" t="s">
        <v>23</v>
      </c>
      <c r="C6994">
        <v>7648876604</v>
      </c>
      <c r="D6994" s="2">
        <v>1</v>
      </c>
      <c r="E6994" t="str">
        <f>"4574674200864379"</f>
        <v>4574674200864379</v>
      </c>
      <c r="F6994" t="str">
        <f>"370"</f>
        <v>370</v>
      </c>
      <c r="G6994">
        <v>1</v>
      </c>
      <c r="H6994">
        <v>2023</v>
      </c>
      <c r="I6994" t="s">
        <v>7109</v>
      </c>
    </row>
    <row r="6995" spans="1:9" x14ac:dyDescent="0.3">
      <c r="A6995" t="s">
        <v>10131</v>
      </c>
      <c r="B6995" t="s">
        <v>23</v>
      </c>
      <c r="C6995">
        <v>7648876604</v>
      </c>
      <c r="D6995" s="2">
        <v>1</v>
      </c>
      <c r="E6995" t="str">
        <f>"4574674200864684"</f>
        <v>4574674200864684</v>
      </c>
      <c r="F6995" t="str">
        <f>"810"</f>
        <v>810</v>
      </c>
      <c r="G6995">
        <v>1</v>
      </c>
      <c r="H6995">
        <v>2023</v>
      </c>
      <c r="I6995" t="s">
        <v>7110</v>
      </c>
    </row>
    <row r="6996" spans="1:9" x14ac:dyDescent="0.3">
      <c r="A6996" t="s">
        <v>10131</v>
      </c>
      <c r="B6996" t="s">
        <v>23</v>
      </c>
      <c r="C6996">
        <v>7648876604</v>
      </c>
      <c r="D6996" s="2">
        <v>1</v>
      </c>
      <c r="E6996" t="str">
        <f>"4574674200864726"</f>
        <v>4574674200864726</v>
      </c>
      <c r="F6996" t="str">
        <f>"107"</f>
        <v>107</v>
      </c>
      <c r="G6996">
        <v>1</v>
      </c>
      <c r="H6996">
        <v>2023</v>
      </c>
      <c r="I6996" t="s">
        <v>7111</v>
      </c>
    </row>
    <row r="6997" spans="1:9" x14ac:dyDescent="0.3">
      <c r="A6997" t="s">
        <v>10132</v>
      </c>
      <c r="B6997" t="s">
        <v>24</v>
      </c>
      <c r="C6997">
        <v>7648876604</v>
      </c>
      <c r="D6997" s="2">
        <v>1</v>
      </c>
      <c r="E6997" t="str">
        <f>"4574674200864833"</f>
        <v>4574674200864833</v>
      </c>
      <c r="F6997" t="str">
        <f>"169"</f>
        <v>169</v>
      </c>
      <c r="G6997">
        <v>1</v>
      </c>
      <c r="H6997">
        <v>2023</v>
      </c>
      <c r="I6997" t="s">
        <v>7112</v>
      </c>
    </row>
    <row r="6998" spans="1:9" x14ac:dyDescent="0.3">
      <c r="A6998" t="s">
        <v>10132</v>
      </c>
      <c r="B6998" t="s">
        <v>24</v>
      </c>
      <c r="C6998">
        <v>7648876604</v>
      </c>
      <c r="D6998" s="2">
        <v>1</v>
      </c>
      <c r="E6998" t="str">
        <f>"4574674200864841"</f>
        <v>4574674200864841</v>
      </c>
      <c r="F6998" t="str">
        <f>"395"</f>
        <v>395</v>
      </c>
      <c r="G6998">
        <v>1</v>
      </c>
      <c r="H6998">
        <v>2023</v>
      </c>
      <c r="I6998" t="s">
        <v>7113</v>
      </c>
    </row>
    <row r="6999" spans="1:9" x14ac:dyDescent="0.3">
      <c r="A6999" t="s">
        <v>10132</v>
      </c>
      <c r="B6999" t="s">
        <v>24</v>
      </c>
      <c r="C6999">
        <v>7648876604</v>
      </c>
      <c r="D6999" s="2">
        <v>1</v>
      </c>
      <c r="E6999" t="str">
        <f>"4574674200865020"</f>
        <v>4574674200865020</v>
      </c>
      <c r="F6999" t="str">
        <f>"779"</f>
        <v>779</v>
      </c>
      <c r="G6999">
        <v>1</v>
      </c>
      <c r="H6999">
        <v>2023</v>
      </c>
      <c r="I6999" t="s">
        <v>7114</v>
      </c>
    </row>
    <row r="7000" spans="1:9" x14ac:dyDescent="0.3">
      <c r="A7000" t="s">
        <v>10132</v>
      </c>
      <c r="B7000" t="s">
        <v>24</v>
      </c>
      <c r="C7000">
        <v>7648876604</v>
      </c>
      <c r="D7000" s="2">
        <v>1</v>
      </c>
      <c r="E7000" t="str">
        <f>"4574674200864866"</f>
        <v>4574674200864866</v>
      </c>
      <c r="F7000" t="str">
        <f>"480"</f>
        <v>480</v>
      </c>
      <c r="G7000">
        <v>1</v>
      </c>
      <c r="H7000">
        <v>2023</v>
      </c>
      <c r="I7000" t="s">
        <v>7115</v>
      </c>
    </row>
    <row r="7001" spans="1:9" x14ac:dyDescent="0.3">
      <c r="A7001" t="s">
        <v>10132</v>
      </c>
      <c r="B7001" t="s">
        <v>24</v>
      </c>
      <c r="C7001">
        <v>7648876604</v>
      </c>
      <c r="D7001" s="2">
        <v>1</v>
      </c>
      <c r="E7001" t="str">
        <f>"4574674200865038"</f>
        <v>4574674200865038</v>
      </c>
      <c r="F7001" t="str">
        <f>"430"</f>
        <v>430</v>
      </c>
      <c r="G7001">
        <v>1</v>
      </c>
      <c r="H7001">
        <v>2023</v>
      </c>
      <c r="I7001" t="s">
        <v>7116</v>
      </c>
    </row>
    <row r="7002" spans="1:9" x14ac:dyDescent="0.3">
      <c r="A7002" t="s">
        <v>10132</v>
      </c>
      <c r="B7002" t="s">
        <v>24</v>
      </c>
      <c r="C7002">
        <v>7648876604</v>
      </c>
      <c r="D7002" s="2">
        <v>1</v>
      </c>
      <c r="E7002" t="str">
        <f>"4574674200864890"</f>
        <v>4574674200864890</v>
      </c>
      <c r="F7002" t="str">
        <f>"201"</f>
        <v>201</v>
      </c>
      <c r="G7002">
        <v>1</v>
      </c>
      <c r="H7002">
        <v>2023</v>
      </c>
      <c r="I7002" t="s">
        <v>7117</v>
      </c>
    </row>
    <row r="7003" spans="1:9" x14ac:dyDescent="0.3">
      <c r="A7003" t="s">
        <v>10132</v>
      </c>
      <c r="B7003" t="s">
        <v>24</v>
      </c>
      <c r="C7003">
        <v>7648876604</v>
      </c>
      <c r="D7003" s="2">
        <v>1</v>
      </c>
      <c r="E7003" t="str">
        <f>"4574674200865095"</f>
        <v>4574674200865095</v>
      </c>
      <c r="F7003" t="str">
        <f>"419"</f>
        <v>419</v>
      </c>
      <c r="G7003">
        <v>1</v>
      </c>
      <c r="H7003">
        <v>2023</v>
      </c>
      <c r="I7003" t="s">
        <v>7118</v>
      </c>
    </row>
    <row r="7004" spans="1:9" x14ac:dyDescent="0.3">
      <c r="A7004" t="s">
        <v>10132</v>
      </c>
      <c r="B7004" t="s">
        <v>24</v>
      </c>
      <c r="C7004">
        <v>7648876604</v>
      </c>
      <c r="D7004" s="2">
        <v>1</v>
      </c>
      <c r="E7004" t="str">
        <f>"4574674200864957"</f>
        <v>4574674200864957</v>
      </c>
      <c r="F7004" t="str">
        <f>"517"</f>
        <v>517</v>
      </c>
      <c r="G7004">
        <v>1</v>
      </c>
      <c r="H7004">
        <v>2023</v>
      </c>
      <c r="I7004" t="s">
        <v>7119</v>
      </c>
    </row>
    <row r="7005" spans="1:9" x14ac:dyDescent="0.3">
      <c r="A7005" t="s">
        <v>10132</v>
      </c>
      <c r="B7005" t="s">
        <v>24</v>
      </c>
      <c r="C7005">
        <v>7648876604</v>
      </c>
      <c r="D7005" s="2">
        <v>1</v>
      </c>
      <c r="E7005" t="str">
        <f>"4574674200864965"</f>
        <v>4574674200864965</v>
      </c>
      <c r="F7005" t="str">
        <f>"693"</f>
        <v>693</v>
      </c>
      <c r="G7005">
        <v>1</v>
      </c>
      <c r="H7005">
        <v>2023</v>
      </c>
      <c r="I7005" t="s">
        <v>7120</v>
      </c>
    </row>
    <row r="7006" spans="1:9" x14ac:dyDescent="0.3">
      <c r="A7006" t="s">
        <v>10132</v>
      </c>
      <c r="B7006" t="s">
        <v>24</v>
      </c>
      <c r="C7006">
        <v>7648876604</v>
      </c>
      <c r="D7006" s="2">
        <v>1</v>
      </c>
      <c r="E7006" t="str">
        <f>"4574674200865236"</f>
        <v>4574674200865236</v>
      </c>
      <c r="F7006" t="str">
        <f>"706"</f>
        <v>706</v>
      </c>
      <c r="G7006">
        <v>1</v>
      </c>
      <c r="H7006">
        <v>2023</v>
      </c>
      <c r="I7006" t="s">
        <v>7121</v>
      </c>
    </row>
    <row r="7007" spans="1:9" x14ac:dyDescent="0.3">
      <c r="A7007" t="s">
        <v>10133</v>
      </c>
      <c r="B7007" t="s">
        <v>25</v>
      </c>
      <c r="C7007">
        <v>7648876604</v>
      </c>
      <c r="D7007" s="2">
        <v>1</v>
      </c>
      <c r="E7007" t="str">
        <f>"4574674200865210"</f>
        <v>4574674200865210</v>
      </c>
      <c r="F7007" t="str">
        <f>"212"</f>
        <v>212</v>
      </c>
      <c r="G7007">
        <v>1</v>
      </c>
      <c r="H7007">
        <v>2023</v>
      </c>
      <c r="I7007" t="s">
        <v>7122</v>
      </c>
    </row>
    <row r="7008" spans="1:9" x14ac:dyDescent="0.3">
      <c r="A7008" t="s">
        <v>10133</v>
      </c>
      <c r="B7008" t="s">
        <v>25</v>
      </c>
      <c r="C7008">
        <v>7648876604</v>
      </c>
      <c r="D7008" s="2">
        <v>1</v>
      </c>
      <c r="E7008" t="str">
        <f>"4574674200864981"</f>
        <v>4574674200864981</v>
      </c>
      <c r="F7008" t="str">
        <f>"072"</f>
        <v>072</v>
      </c>
      <c r="G7008">
        <v>1</v>
      </c>
      <c r="H7008">
        <v>2023</v>
      </c>
      <c r="I7008" t="s">
        <v>7123</v>
      </c>
    </row>
    <row r="7009" spans="1:9" x14ac:dyDescent="0.3">
      <c r="A7009" t="s">
        <v>10133</v>
      </c>
      <c r="B7009" t="s">
        <v>25</v>
      </c>
      <c r="C7009">
        <v>7648876604</v>
      </c>
      <c r="D7009" s="2">
        <v>1</v>
      </c>
      <c r="E7009" t="str">
        <f>"4574674200865418"</f>
        <v>4574674200865418</v>
      </c>
      <c r="F7009" t="str">
        <f>"415"</f>
        <v>415</v>
      </c>
      <c r="G7009">
        <v>1</v>
      </c>
      <c r="H7009">
        <v>2023</v>
      </c>
      <c r="I7009" t="s">
        <v>7124</v>
      </c>
    </row>
    <row r="7010" spans="1:9" x14ac:dyDescent="0.3">
      <c r="A7010" t="s">
        <v>10133</v>
      </c>
      <c r="B7010" t="s">
        <v>25</v>
      </c>
      <c r="C7010">
        <v>7648876604</v>
      </c>
      <c r="D7010" s="2">
        <v>1</v>
      </c>
      <c r="E7010" t="str">
        <f>"4574674200865251"</f>
        <v>4574674200865251</v>
      </c>
      <c r="F7010" t="str">
        <f>"370"</f>
        <v>370</v>
      </c>
      <c r="G7010">
        <v>1</v>
      </c>
      <c r="H7010">
        <v>2023</v>
      </c>
      <c r="I7010" t="s">
        <v>7125</v>
      </c>
    </row>
    <row r="7011" spans="1:9" x14ac:dyDescent="0.3">
      <c r="A7011" t="s">
        <v>10133</v>
      </c>
      <c r="B7011" t="s">
        <v>25</v>
      </c>
      <c r="C7011">
        <v>7648876604</v>
      </c>
      <c r="D7011" s="2">
        <v>1</v>
      </c>
      <c r="E7011" t="str">
        <f>"4574674200865384"</f>
        <v>4574674200865384</v>
      </c>
      <c r="F7011" t="str">
        <f>"828"</f>
        <v>828</v>
      </c>
      <c r="G7011">
        <v>1</v>
      </c>
      <c r="H7011">
        <v>2023</v>
      </c>
      <c r="I7011" t="s">
        <v>7126</v>
      </c>
    </row>
    <row r="7012" spans="1:9" x14ac:dyDescent="0.3">
      <c r="A7012" t="s">
        <v>10133</v>
      </c>
      <c r="B7012" t="s">
        <v>25</v>
      </c>
      <c r="C7012">
        <v>7648876604</v>
      </c>
      <c r="D7012" s="2">
        <v>1</v>
      </c>
      <c r="E7012" t="str">
        <f>"4574674200865392"</f>
        <v>4574674200865392</v>
      </c>
      <c r="F7012" t="str">
        <f>"399"</f>
        <v>399</v>
      </c>
      <c r="G7012">
        <v>1</v>
      </c>
      <c r="H7012">
        <v>2023</v>
      </c>
      <c r="I7012" t="s">
        <v>7127</v>
      </c>
    </row>
    <row r="7013" spans="1:9" x14ac:dyDescent="0.3">
      <c r="A7013" t="s">
        <v>10133</v>
      </c>
      <c r="B7013" t="s">
        <v>25</v>
      </c>
      <c r="C7013">
        <v>7648876604</v>
      </c>
      <c r="D7013" s="2">
        <v>1</v>
      </c>
      <c r="E7013" t="str">
        <f>"4574674200865475"</f>
        <v>4574674200865475</v>
      </c>
      <c r="F7013" t="str">
        <f>"391"</f>
        <v>391</v>
      </c>
      <c r="G7013">
        <v>1</v>
      </c>
      <c r="H7013">
        <v>2023</v>
      </c>
      <c r="I7013" t="s">
        <v>7128</v>
      </c>
    </row>
    <row r="7014" spans="1:9" x14ac:dyDescent="0.3">
      <c r="A7014" t="s">
        <v>10133</v>
      </c>
      <c r="B7014" t="s">
        <v>25</v>
      </c>
      <c r="C7014">
        <v>7648876604</v>
      </c>
      <c r="D7014" s="2">
        <v>1</v>
      </c>
      <c r="E7014" t="str">
        <f>"4574674200865483"</f>
        <v>4574674200865483</v>
      </c>
      <c r="F7014" t="str">
        <f>"372"</f>
        <v>372</v>
      </c>
      <c r="G7014">
        <v>1</v>
      </c>
      <c r="H7014">
        <v>2023</v>
      </c>
      <c r="I7014" t="s">
        <v>7129</v>
      </c>
    </row>
    <row r="7015" spans="1:9" x14ac:dyDescent="0.3">
      <c r="A7015" t="s">
        <v>10133</v>
      </c>
      <c r="B7015" t="s">
        <v>25</v>
      </c>
      <c r="C7015">
        <v>7648876604</v>
      </c>
      <c r="D7015" s="2">
        <v>1</v>
      </c>
      <c r="E7015" t="str">
        <f>"4574674200865509"</f>
        <v>4574674200865509</v>
      </c>
      <c r="F7015" t="str">
        <f>"836"</f>
        <v>836</v>
      </c>
      <c r="G7015">
        <v>1</v>
      </c>
      <c r="H7015">
        <v>2023</v>
      </c>
      <c r="I7015" t="s">
        <v>7130</v>
      </c>
    </row>
    <row r="7016" spans="1:9" x14ac:dyDescent="0.3">
      <c r="A7016" t="s">
        <v>10133</v>
      </c>
      <c r="B7016" t="s">
        <v>25</v>
      </c>
      <c r="C7016">
        <v>7648876604</v>
      </c>
      <c r="D7016" s="2">
        <v>1</v>
      </c>
      <c r="E7016" t="str">
        <f>"4574674200865517"</f>
        <v>4574674200865517</v>
      </c>
      <c r="F7016" t="str">
        <f>"994"</f>
        <v>994</v>
      </c>
      <c r="G7016">
        <v>1</v>
      </c>
      <c r="H7016">
        <v>2023</v>
      </c>
      <c r="I7016" t="s">
        <v>7131</v>
      </c>
    </row>
    <row r="7017" spans="1:9" x14ac:dyDescent="0.3">
      <c r="A7017" t="s">
        <v>10134</v>
      </c>
      <c r="B7017" t="s">
        <v>26</v>
      </c>
      <c r="C7017">
        <v>7648876604</v>
      </c>
      <c r="D7017" s="2">
        <v>1</v>
      </c>
      <c r="E7017" t="str">
        <f>"4574674200865640"</f>
        <v>4574674200865640</v>
      </c>
      <c r="F7017" t="str">
        <f>"178"</f>
        <v>178</v>
      </c>
      <c r="G7017">
        <v>1</v>
      </c>
      <c r="H7017">
        <v>2023</v>
      </c>
      <c r="I7017" t="s">
        <v>7132</v>
      </c>
    </row>
    <row r="7018" spans="1:9" x14ac:dyDescent="0.3">
      <c r="A7018" t="s">
        <v>10134</v>
      </c>
      <c r="B7018" t="s">
        <v>26</v>
      </c>
      <c r="C7018">
        <v>7648876604</v>
      </c>
      <c r="D7018" s="2">
        <v>1</v>
      </c>
      <c r="E7018" t="str">
        <f>"4574674200865731"</f>
        <v>4574674200865731</v>
      </c>
      <c r="F7018" t="str">
        <f>"965"</f>
        <v>965</v>
      </c>
      <c r="G7018">
        <v>1</v>
      </c>
      <c r="H7018">
        <v>2023</v>
      </c>
      <c r="I7018" t="s">
        <v>7133</v>
      </c>
    </row>
    <row r="7019" spans="1:9" x14ac:dyDescent="0.3">
      <c r="A7019" t="s">
        <v>10134</v>
      </c>
      <c r="B7019" t="s">
        <v>26</v>
      </c>
      <c r="C7019">
        <v>7648876604</v>
      </c>
      <c r="D7019" s="2">
        <v>1</v>
      </c>
      <c r="E7019" t="str">
        <f>"4574674200865749"</f>
        <v>4574674200865749</v>
      </c>
      <c r="F7019" t="str">
        <f>"934"</f>
        <v>934</v>
      </c>
      <c r="G7019">
        <v>1</v>
      </c>
      <c r="H7019">
        <v>2023</v>
      </c>
      <c r="I7019" t="s">
        <v>7134</v>
      </c>
    </row>
    <row r="7020" spans="1:9" x14ac:dyDescent="0.3">
      <c r="A7020" t="s">
        <v>10134</v>
      </c>
      <c r="B7020" t="s">
        <v>26</v>
      </c>
      <c r="C7020">
        <v>7648876604</v>
      </c>
      <c r="D7020" s="2">
        <v>1</v>
      </c>
      <c r="E7020" t="str">
        <f>"4574674200865582"</f>
        <v>4574674200865582</v>
      </c>
      <c r="F7020" t="str">
        <f>"569"</f>
        <v>569</v>
      </c>
      <c r="G7020">
        <v>1</v>
      </c>
      <c r="H7020">
        <v>2023</v>
      </c>
      <c r="I7020" t="s">
        <v>7135</v>
      </c>
    </row>
    <row r="7021" spans="1:9" x14ac:dyDescent="0.3">
      <c r="A7021" t="s">
        <v>10134</v>
      </c>
      <c r="B7021" t="s">
        <v>26</v>
      </c>
      <c r="C7021">
        <v>7648876604</v>
      </c>
      <c r="D7021" s="2">
        <v>1</v>
      </c>
      <c r="E7021" t="str">
        <f>"4574674200865806"</f>
        <v>4574674200865806</v>
      </c>
      <c r="F7021" t="str">
        <f>"352"</f>
        <v>352</v>
      </c>
      <c r="G7021">
        <v>1</v>
      </c>
      <c r="H7021">
        <v>2023</v>
      </c>
      <c r="I7021" t="s">
        <v>7136</v>
      </c>
    </row>
    <row r="7022" spans="1:9" x14ac:dyDescent="0.3">
      <c r="A7022" t="s">
        <v>10134</v>
      </c>
      <c r="B7022" t="s">
        <v>26</v>
      </c>
      <c r="C7022">
        <v>7648876604</v>
      </c>
      <c r="D7022" s="2">
        <v>1</v>
      </c>
      <c r="E7022" t="str">
        <f>"4574674200866028"</f>
        <v>4574674200866028</v>
      </c>
      <c r="F7022" t="str">
        <f>"715"</f>
        <v>715</v>
      </c>
      <c r="G7022">
        <v>1</v>
      </c>
      <c r="H7022">
        <v>2023</v>
      </c>
      <c r="I7022" t="s">
        <v>7137</v>
      </c>
    </row>
    <row r="7023" spans="1:9" x14ac:dyDescent="0.3">
      <c r="A7023" t="s">
        <v>10134</v>
      </c>
      <c r="B7023" t="s">
        <v>26</v>
      </c>
      <c r="C7023">
        <v>7648876604</v>
      </c>
      <c r="D7023" s="2">
        <v>1</v>
      </c>
      <c r="E7023" t="str">
        <f>"4574674200865814"</f>
        <v>4574674200865814</v>
      </c>
      <c r="F7023" t="str">
        <f>"180"</f>
        <v>180</v>
      </c>
      <c r="G7023">
        <v>1</v>
      </c>
      <c r="H7023">
        <v>2023</v>
      </c>
      <c r="I7023" t="s">
        <v>7138</v>
      </c>
    </row>
    <row r="7024" spans="1:9" x14ac:dyDescent="0.3">
      <c r="A7024" t="s">
        <v>10134</v>
      </c>
      <c r="B7024" t="s">
        <v>26</v>
      </c>
      <c r="C7024">
        <v>7648876604</v>
      </c>
      <c r="D7024" s="2">
        <v>1</v>
      </c>
      <c r="E7024" t="str">
        <f>"4574674200865822"</f>
        <v>4574674200865822</v>
      </c>
      <c r="F7024" t="str">
        <f>"525"</f>
        <v>525</v>
      </c>
      <c r="G7024">
        <v>1</v>
      </c>
      <c r="H7024">
        <v>2023</v>
      </c>
      <c r="I7024" t="s">
        <v>7139</v>
      </c>
    </row>
    <row r="7025" spans="1:9" x14ac:dyDescent="0.3">
      <c r="A7025" t="s">
        <v>10134</v>
      </c>
      <c r="B7025" t="s">
        <v>26</v>
      </c>
      <c r="C7025">
        <v>7648876604</v>
      </c>
      <c r="D7025" s="2">
        <v>1</v>
      </c>
      <c r="E7025" t="str">
        <f>"4574674200866051"</f>
        <v>4574674200866051</v>
      </c>
      <c r="F7025" t="str">
        <f>"486"</f>
        <v>486</v>
      </c>
      <c r="G7025">
        <v>1</v>
      </c>
      <c r="H7025">
        <v>2023</v>
      </c>
      <c r="I7025" t="s">
        <v>7140</v>
      </c>
    </row>
    <row r="7026" spans="1:9" x14ac:dyDescent="0.3">
      <c r="A7026" t="s">
        <v>10134</v>
      </c>
      <c r="B7026" t="s">
        <v>26</v>
      </c>
      <c r="C7026">
        <v>7648876604</v>
      </c>
      <c r="D7026" s="2">
        <v>1</v>
      </c>
      <c r="E7026" t="str">
        <f>"4574674200866069"</f>
        <v>4574674200866069</v>
      </c>
      <c r="F7026" t="str">
        <f>"104"</f>
        <v>104</v>
      </c>
      <c r="G7026">
        <v>1</v>
      </c>
      <c r="H7026">
        <v>2023</v>
      </c>
      <c r="I7026" t="s">
        <v>7141</v>
      </c>
    </row>
    <row r="7027" spans="1:9" x14ac:dyDescent="0.3">
      <c r="A7027" t="s">
        <v>10135</v>
      </c>
      <c r="B7027" t="s">
        <v>27</v>
      </c>
      <c r="C7027">
        <v>7648876604</v>
      </c>
      <c r="D7027" s="2">
        <v>1</v>
      </c>
      <c r="E7027" t="str">
        <f>"4574674200865905"</f>
        <v>4574674200865905</v>
      </c>
      <c r="F7027" t="str">
        <f>"477"</f>
        <v>477</v>
      </c>
      <c r="G7027">
        <v>1</v>
      </c>
      <c r="H7027">
        <v>2023</v>
      </c>
      <c r="I7027" t="s">
        <v>7142</v>
      </c>
    </row>
    <row r="7028" spans="1:9" x14ac:dyDescent="0.3">
      <c r="A7028" t="s">
        <v>10135</v>
      </c>
      <c r="B7028" t="s">
        <v>27</v>
      </c>
      <c r="C7028">
        <v>7648876604</v>
      </c>
      <c r="D7028" s="2">
        <v>1</v>
      </c>
      <c r="E7028" t="str">
        <f>"4574674200866127"</f>
        <v>4574674200866127</v>
      </c>
      <c r="F7028" t="str">
        <f>"166"</f>
        <v>166</v>
      </c>
      <c r="G7028">
        <v>1</v>
      </c>
      <c r="H7028">
        <v>2023</v>
      </c>
      <c r="I7028" t="s">
        <v>7143</v>
      </c>
    </row>
    <row r="7029" spans="1:9" x14ac:dyDescent="0.3">
      <c r="A7029" t="s">
        <v>10135</v>
      </c>
      <c r="B7029" t="s">
        <v>27</v>
      </c>
      <c r="C7029">
        <v>7648876604</v>
      </c>
      <c r="D7029" s="2">
        <v>1</v>
      </c>
      <c r="E7029" t="str">
        <f>"4574674200865921"</f>
        <v>4574674200865921</v>
      </c>
      <c r="F7029" t="str">
        <f>"937"</f>
        <v>937</v>
      </c>
      <c r="G7029">
        <v>1</v>
      </c>
      <c r="H7029">
        <v>2023</v>
      </c>
      <c r="I7029" t="s">
        <v>7144</v>
      </c>
    </row>
    <row r="7030" spans="1:9" x14ac:dyDescent="0.3">
      <c r="A7030" t="s">
        <v>10135</v>
      </c>
      <c r="B7030" t="s">
        <v>27</v>
      </c>
      <c r="C7030">
        <v>7648876604</v>
      </c>
      <c r="D7030" s="2">
        <v>1</v>
      </c>
      <c r="E7030" t="str">
        <f>"4574674200866192"</f>
        <v>4574674200866192</v>
      </c>
      <c r="F7030" t="str">
        <f>"680"</f>
        <v>680</v>
      </c>
      <c r="G7030">
        <v>1</v>
      </c>
      <c r="H7030">
        <v>2023</v>
      </c>
      <c r="I7030" t="s">
        <v>7145</v>
      </c>
    </row>
    <row r="7031" spans="1:9" x14ac:dyDescent="0.3">
      <c r="A7031" t="s">
        <v>10135</v>
      </c>
      <c r="B7031" t="s">
        <v>27</v>
      </c>
      <c r="C7031">
        <v>7648876604</v>
      </c>
      <c r="D7031" s="2">
        <v>1</v>
      </c>
      <c r="E7031" t="str">
        <f>"4574674200866200"</f>
        <v>4574674200866200</v>
      </c>
      <c r="F7031" t="str">
        <f>"505"</f>
        <v>505</v>
      </c>
      <c r="G7031">
        <v>1</v>
      </c>
      <c r="H7031">
        <v>2023</v>
      </c>
      <c r="I7031" t="s">
        <v>7146</v>
      </c>
    </row>
    <row r="7032" spans="1:9" x14ac:dyDescent="0.3">
      <c r="A7032" t="s">
        <v>10135</v>
      </c>
      <c r="B7032" t="s">
        <v>27</v>
      </c>
      <c r="C7032">
        <v>7648876604</v>
      </c>
      <c r="D7032" s="2">
        <v>1</v>
      </c>
      <c r="E7032" t="str">
        <f>"4574674200865954"</f>
        <v>4574674200865954</v>
      </c>
      <c r="F7032" t="str">
        <f>"225"</f>
        <v>225</v>
      </c>
      <c r="G7032">
        <v>1</v>
      </c>
      <c r="H7032">
        <v>2023</v>
      </c>
      <c r="I7032" t="s">
        <v>7147</v>
      </c>
    </row>
    <row r="7033" spans="1:9" x14ac:dyDescent="0.3">
      <c r="A7033" t="s">
        <v>10135</v>
      </c>
      <c r="B7033" t="s">
        <v>27</v>
      </c>
      <c r="C7033">
        <v>7648876604</v>
      </c>
      <c r="D7033" s="2">
        <v>1</v>
      </c>
      <c r="E7033" t="str">
        <f>"4574674200865947"</f>
        <v>4574674200865947</v>
      </c>
      <c r="F7033" t="str">
        <f>"661"</f>
        <v>661</v>
      </c>
      <c r="G7033">
        <v>1</v>
      </c>
      <c r="H7033">
        <v>2023</v>
      </c>
      <c r="I7033" t="s">
        <v>7148</v>
      </c>
    </row>
    <row r="7034" spans="1:9" x14ac:dyDescent="0.3">
      <c r="A7034" t="s">
        <v>10135</v>
      </c>
      <c r="B7034" t="s">
        <v>27</v>
      </c>
      <c r="C7034">
        <v>7648876604</v>
      </c>
      <c r="D7034" s="2">
        <v>1</v>
      </c>
      <c r="E7034" t="str">
        <f>"4574674200866283"</f>
        <v>4574674200866283</v>
      </c>
      <c r="F7034" t="str">
        <f>"639"</f>
        <v>639</v>
      </c>
      <c r="G7034">
        <v>1</v>
      </c>
      <c r="H7034">
        <v>2023</v>
      </c>
      <c r="I7034" t="s">
        <v>7149</v>
      </c>
    </row>
    <row r="7035" spans="1:9" x14ac:dyDescent="0.3">
      <c r="A7035" t="s">
        <v>10135</v>
      </c>
      <c r="B7035" t="s">
        <v>27</v>
      </c>
      <c r="C7035">
        <v>7648876604</v>
      </c>
      <c r="D7035" s="2">
        <v>1</v>
      </c>
      <c r="E7035" t="str">
        <f>"4574674200866333"</f>
        <v>4574674200866333</v>
      </c>
      <c r="F7035" t="str">
        <f>"039"</f>
        <v>039</v>
      </c>
      <c r="G7035">
        <v>1</v>
      </c>
      <c r="H7035">
        <v>2023</v>
      </c>
      <c r="I7035" t="s">
        <v>7150</v>
      </c>
    </row>
    <row r="7036" spans="1:9" x14ac:dyDescent="0.3">
      <c r="A7036" t="s">
        <v>10135</v>
      </c>
      <c r="B7036" t="s">
        <v>27</v>
      </c>
      <c r="C7036">
        <v>7648876604</v>
      </c>
      <c r="D7036" s="2">
        <v>1</v>
      </c>
      <c r="E7036" t="str">
        <f>"4574674200866374"</f>
        <v>4574674200866374</v>
      </c>
      <c r="F7036" t="str">
        <f>"061"</f>
        <v>061</v>
      </c>
      <c r="G7036">
        <v>1</v>
      </c>
      <c r="H7036">
        <v>2023</v>
      </c>
      <c r="I7036" t="s">
        <v>7151</v>
      </c>
    </row>
    <row r="7037" spans="1:9" x14ac:dyDescent="0.3">
      <c r="A7037" t="s">
        <v>10136</v>
      </c>
      <c r="B7037" t="s">
        <v>28</v>
      </c>
      <c r="C7037">
        <v>7648876604</v>
      </c>
      <c r="D7037" s="2">
        <v>1</v>
      </c>
      <c r="E7037" t="str">
        <f>"4574674200866432"</f>
        <v>4574674200866432</v>
      </c>
      <c r="F7037" t="str">
        <f>"794"</f>
        <v>794</v>
      </c>
      <c r="G7037">
        <v>1</v>
      </c>
      <c r="H7037">
        <v>2023</v>
      </c>
      <c r="I7037" t="s">
        <v>7152</v>
      </c>
    </row>
    <row r="7038" spans="1:9" x14ac:dyDescent="0.3">
      <c r="A7038" t="s">
        <v>10136</v>
      </c>
      <c r="B7038" t="s">
        <v>28</v>
      </c>
      <c r="C7038">
        <v>7648876604</v>
      </c>
      <c r="D7038" s="2">
        <v>1</v>
      </c>
      <c r="E7038" t="str">
        <f>"4574674200866440"</f>
        <v>4574674200866440</v>
      </c>
      <c r="F7038" t="str">
        <f>"802"</f>
        <v>802</v>
      </c>
      <c r="G7038">
        <v>1</v>
      </c>
      <c r="H7038">
        <v>2023</v>
      </c>
      <c r="I7038" t="s">
        <v>7153</v>
      </c>
    </row>
    <row r="7039" spans="1:9" x14ac:dyDescent="0.3">
      <c r="A7039" t="s">
        <v>10136</v>
      </c>
      <c r="B7039" t="s">
        <v>28</v>
      </c>
      <c r="C7039">
        <v>7648876604</v>
      </c>
      <c r="D7039" s="2">
        <v>1</v>
      </c>
      <c r="E7039" t="str">
        <f>"4574674200866465"</f>
        <v>4574674200866465</v>
      </c>
      <c r="F7039" t="str">
        <f>"306"</f>
        <v>306</v>
      </c>
      <c r="G7039">
        <v>1</v>
      </c>
      <c r="H7039">
        <v>2023</v>
      </c>
      <c r="I7039" t="s">
        <v>7154</v>
      </c>
    </row>
    <row r="7040" spans="1:9" x14ac:dyDescent="0.3">
      <c r="A7040" t="s">
        <v>10136</v>
      </c>
      <c r="B7040" t="s">
        <v>28</v>
      </c>
      <c r="C7040">
        <v>7648876604</v>
      </c>
      <c r="D7040" s="2">
        <v>1</v>
      </c>
      <c r="E7040" t="str">
        <f>"4574674200866648"</f>
        <v>4574674200866648</v>
      </c>
      <c r="F7040" t="str">
        <f>"866"</f>
        <v>866</v>
      </c>
      <c r="G7040">
        <v>1</v>
      </c>
      <c r="H7040">
        <v>2023</v>
      </c>
      <c r="I7040" t="s">
        <v>7155</v>
      </c>
    </row>
    <row r="7041" spans="1:9" x14ac:dyDescent="0.3">
      <c r="A7041" t="s">
        <v>10136</v>
      </c>
      <c r="B7041" t="s">
        <v>28</v>
      </c>
      <c r="C7041">
        <v>7648876604</v>
      </c>
      <c r="D7041" s="2">
        <v>1</v>
      </c>
      <c r="E7041" t="str">
        <f>"4574674200866697"</f>
        <v>4574674200866697</v>
      </c>
      <c r="F7041" t="str">
        <f>"702"</f>
        <v>702</v>
      </c>
      <c r="G7041">
        <v>1</v>
      </c>
      <c r="H7041">
        <v>2023</v>
      </c>
      <c r="I7041" t="s">
        <v>7156</v>
      </c>
    </row>
    <row r="7042" spans="1:9" x14ac:dyDescent="0.3">
      <c r="A7042" t="s">
        <v>10136</v>
      </c>
      <c r="B7042" t="s">
        <v>28</v>
      </c>
      <c r="C7042">
        <v>7648876604</v>
      </c>
      <c r="D7042" s="2">
        <v>1</v>
      </c>
      <c r="E7042" t="str">
        <f>"4574674200866705"</f>
        <v>4574674200866705</v>
      </c>
      <c r="F7042" t="str">
        <f>"193"</f>
        <v>193</v>
      </c>
      <c r="G7042">
        <v>1</v>
      </c>
      <c r="H7042">
        <v>2023</v>
      </c>
      <c r="I7042" t="s">
        <v>7157</v>
      </c>
    </row>
    <row r="7043" spans="1:9" x14ac:dyDescent="0.3">
      <c r="A7043" t="s">
        <v>10136</v>
      </c>
      <c r="B7043" t="s">
        <v>28</v>
      </c>
      <c r="C7043">
        <v>7648876604</v>
      </c>
      <c r="D7043" s="2">
        <v>1</v>
      </c>
      <c r="E7043" t="str">
        <f>"4574674200866739"</f>
        <v>4574674200866739</v>
      </c>
      <c r="F7043" t="str">
        <f>"918"</f>
        <v>918</v>
      </c>
      <c r="G7043">
        <v>1</v>
      </c>
      <c r="H7043">
        <v>2023</v>
      </c>
      <c r="I7043" t="s">
        <v>7158</v>
      </c>
    </row>
    <row r="7044" spans="1:9" x14ac:dyDescent="0.3">
      <c r="A7044" t="s">
        <v>10136</v>
      </c>
      <c r="B7044" t="s">
        <v>28</v>
      </c>
      <c r="C7044">
        <v>7648876604</v>
      </c>
      <c r="D7044" s="2">
        <v>1</v>
      </c>
      <c r="E7044" t="str">
        <f>"4574674200866564"</f>
        <v>4574674200866564</v>
      </c>
      <c r="F7044" t="str">
        <f>"497"</f>
        <v>497</v>
      </c>
      <c r="G7044">
        <v>1</v>
      </c>
      <c r="H7044">
        <v>2023</v>
      </c>
      <c r="I7044" t="s">
        <v>7159</v>
      </c>
    </row>
    <row r="7045" spans="1:9" x14ac:dyDescent="0.3">
      <c r="A7045" t="s">
        <v>10136</v>
      </c>
      <c r="B7045" t="s">
        <v>28</v>
      </c>
      <c r="C7045">
        <v>7648876604</v>
      </c>
      <c r="D7045" s="2">
        <v>1</v>
      </c>
      <c r="E7045" t="str">
        <f>"4574674200866556"</f>
        <v>4574674200866556</v>
      </c>
      <c r="F7045" t="str">
        <f>"225"</f>
        <v>225</v>
      </c>
      <c r="G7045">
        <v>1</v>
      </c>
      <c r="H7045">
        <v>2023</v>
      </c>
      <c r="I7045" t="s">
        <v>7160</v>
      </c>
    </row>
    <row r="7046" spans="1:9" x14ac:dyDescent="0.3">
      <c r="A7046" t="s">
        <v>10136</v>
      </c>
      <c r="B7046" t="s">
        <v>28</v>
      </c>
      <c r="C7046">
        <v>7648876604</v>
      </c>
      <c r="D7046" s="2">
        <v>1</v>
      </c>
      <c r="E7046" t="str">
        <f>"4574674200866812"</f>
        <v>4574674200866812</v>
      </c>
      <c r="F7046" t="str">
        <f>"362"</f>
        <v>362</v>
      </c>
      <c r="G7046">
        <v>1</v>
      </c>
      <c r="H7046">
        <v>2023</v>
      </c>
      <c r="I7046" t="s">
        <v>7161</v>
      </c>
    </row>
    <row r="7047" spans="1:9" x14ac:dyDescent="0.3">
      <c r="A7047" t="s">
        <v>10137</v>
      </c>
      <c r="B7047" t="s">
        <v>29</v>
      </c>
      <c r="C7047">
        <v>7648876604</v>
      </c>
      <c r="D7047" s="2">
        <v>1</v>
      </c>
      <c r="E7047" t="str">
        <f>"4574674200866838"</f>
        <v>4574674200866838</v>
      </c>
      <c r="F7047" t="str">
        <f>"799"</f>
        <v>799</v>
      </c>
      <c r="G7047">
        <v>1</v>
      </c>
      <c r="H7047">
        <v>2023</v>
      </c>
      <c r="I7047" t="s">
        <v>7162</v>
      </c>
    </row>
    <row r="7048" spans="1:9" x14ac:dyDescent="0.3">
      <c r="A7048" t="s">
        <v>10137</v>
      </c>
      <c r="B7048" t="s">
        <v>29</v>
      </c>
      <c r="C7048">
        <v>7648876604</v>
      </c>
      <c r="D7048" s="2">
        <v>1</v>
      </c>
      <c r="E7048" t="str">
        <f>"4574674200866861"</f>
        <v>4574674200866861</v>
      </c>
      <c r="F7048" t="str">
        <f>"805"</f>
        <v>805</v>
      </c>
      <c r="G7048">
        <v>1</v>
      </c>
      <c r="H7048">
        <v>2023</v>
      </c>
      <c r="I7048" t="s">
        <v>7163</v>
      </c>
    </row>
    <row r="7049" spans="1:9" x14ac:dyDescent="0.3">
      <c r="A7049" t="s">
        <v>10137</v>
      </c>
      <c r="B7049" t="s">
        <v>29</v>
      </c>
      <c r="C7049">
        <v>7648876604</v>
      </c>
      <c r="D7049" s="2">
        <v>1</v>
      </c>
      <c r="E7049" t="str">
        <f>"4574674200866895"</f>
        <v>4574674200866895</v>
      </c>
      <c r="F7049" t="str">
        <f>"229"</f>
        <v>229</v>
      </c>
      <c r="G7049">
        <v>1</v>
      </c>
      <c r="H7049">
        <v>2023</v>
      </c>
      <c r="I7049" t="s">
        <v>7164</v>
      </c>
    </row>
    <row r="7050" spans="1:9" x14ac:dyDescent="0.3">
      <c r="A7050" t="s">
        <v>10137</v>
      </c>
      <c r="B7050" t="s">
        <v>29</v>
      </c>
      <c r="C7050">
        <v>7648876604</v>
      </c>
      <c r="D7050" s="2">
        <v>1</v>
      </c>
      <c r="E7050" t="str">
        <f>"4574674200867000"</f>
        <v>4574674200867000</v>
      </c>
      <c r="F7050" t="str">
        <f>"057"</f>
        <v>057</v>
      </c>
      <c r="G7050">
        <v>1</v>
      </c>
      <c r="H7050">
        <v>2023</v>
      </c>
      <c r="I7050" t="s">
        <v>7165</v>
      </c>
    </row>
    <row r="7051" spans="1:9" x14ac:dyDescent="0.3">
      <c r="A7051" t="s">
        <v>10137</v>
      </c>
      <c r="B7051" t="s">
        <v>29</v>
      </c>
      <c r="C7051">
        <v>7648876604</v>
      </c>
      <c r="D7051" s="2">
        <v>1</v>
      </c>
      <c r="E7051" t="str">
        <f>"4574674200866994"</f>
        <v>4574674200866994</v>
      </c>
      <c r="F7051" t="str">
        <f>"294"</f>
        <v>294</v>
      </c>
      <c r="G7051">
        <v>1</v>
      </c>
      <c r="H7051">
        <v>2023</v>
      </c>
      <c r="I7051" t="s">
        <v>7166</v>
      </c>
    </row>
    <row r="7052" spans="1:9" x14ac:dyDescent="0.3">
      <c r="A7052" t="s">
        <v>10137</v>
      </c>
      <c r="B7052" t="s">
        <v>29</v>
      </c>
      <c r="C7052">
        <v>7648876604</v>
      </c>
      <c r="D7052" s="2">
        <v>1</v>
      </c>
      <c r="E7052" t="str">
        <f>"4574674200867208"</f>
        <v>4574674200867208</v>
      </c>
      <c r="F7052" t="str">
        <f>"664"</f>
        <v>664</v>
      </c>
      <c r="G7052">
        <v>1</v>
      </c>
      <c r="H7052">
        <v>2023</v>
      </c>
      <c r="I7052" t="s">
        <v>7167</v>
      </c>
    </row>
    <row r="7053" spans="1:9" x14ac:dyDescent="0.3">
      <c r="A7053" t="s">
        <v>10137</v>
      </c>
      <c r="B7053" t="s">
        <v>29</v>
      </c>
      <c r="C7053">
        <v>7648876604</v>
      </c>
      <c r="D7053" s="2">
        <v>1</v>
      </c>
      <c r="E7053" t="str">
        <f>"4574674200867240"</f>
        <v>4574674200867240</v>
      </c>
      <c r="F7053" t="str">
        <f>"964"</f>
        <v>964</v>
      </c>
      <c r="G7053">
        <v>1</v>
      </c>
      <c r="H7053">
        <v>2023</v>
      </c>
      <c r="I7053" t="s">
        <v>7168</v>
      </c>
    </row>
    <row r="7054" spans="1:9" x14ac:dyDescent="0.3">
      <c r="A7054" t="s">
        <v>10137</v>
      </c>
      <c r="B7054" t="s">
        <v>29</v>
      </c>
      <c r="C7054">
        <v>7648876604</v>
      </c>
      <c r="D7054" s="2">
        <v>1</v>
      </c>
      <c r="E7054" t="str">
        <f>"4574674200867265"</f>
        <v>4574674200867265</v>
      </c>
      <c r="F7054" t="str">
        <f>"180"</f>
        <v>180</v>
      </c>
      <c r="G7054">
        <v>1</v>
      </c>
      <c r="H7054">
        <v>2023</v>
      </c>
      <c r="I7054" t="s">
        <v>7169</v>
      </c>
    </row>
    <row r="7055" spans="1:9" x14ac:dyDescent="0.3">
      <c r="A7055" t="s">
        <v>10137</v>
      </c>
      <c r="B7055" t="s">
        <v>29</v>
      </c>
      <c r="C7055">
        <v>7648876604</v>
      </c>
      <c r="D7055" s="2">
        <v>1</v>
      </c>
      <c r="E7055" t="str">
        <f>"4574674200867075"</f>
        <v>4574674200867075</v>
      </c>
      <c r="F7055" t="str">
        <f>"596"</f>
        <v>596</v>
      </c>
      <c r="G7055">
        <v>1</v>
      </c>
      <c r="H7055">
        <v>2023</v>
      </c>
      <c r="I7055" t="s">
        <v>7170</v>
      </c>
    </row>
    <row r="7056" spans="1:9" x14ac:dyDescent="0.3">
      <c r="A7056" t="s">
        <v>10137</v>
      </c>
      <c r="B7056" t="s">
        <v>29</v>
      </c>
      <c r="C7056">
        <v>7648876604</v>
      </c>
      <c r="D7056" s="2">
        <v>1</v>
      </c>
      <c r="E7056" t="str">
        <f>"4574674200867083"</f>
        <v>4574674200867083</v>
      </c>
      <c r="F7056" t="str">
        <f>"210"</f>
        <v>210</v>
      </c>
      <c r="G7056">
        <v>1</v>
      </c>
      <c r="H7056">
        <v>2023</v>
      </c>
      <c r="I7056" t="s">
        <v>7171</v>
      </c>
    </row>
    <row r="7057" spans="1:9" x14ac:dyDescent="0.3">
      <c r="A7057" t="s">
        <v>10138</v>
      </c>
      <c r="B7057" t="s">
        <v>30</v>
      </c>
      <c r="C7057">
        <v>7648876604</v>
      </c>
      <c r="D7057" s="2">
        <v>1</v>
      </c>
      <c r="E7057" t="str">
        <f>"4574674200867349"</f>
        <v>4574674200867349</v>
      </c>
      <c r="F7057" t="str">
        <f>"400"</f>
        <v>400</v>
      </c>
      <c r="G7057">
        <v>1</v>
      </c>
      <c r="H7057">
        <v>2023</v>
      </c>
      <c r="I7057" t="s">
        <v>7172</v>
      </c>
    </row>
    <row r="7058" spans="1:9" x14ac:dyDescent="0.3">
      <c r="A7058" t="s">
        <v>10138</v>
      </c>
      <c r="B7058" t="s">
        <v>30</v>
      </c>
      <c r="C7058">
        <v>7648876604</v>
      </c>
      <c r="D7058" s="2">
        <v>1</v>
      </c>
      <c r="E7058" t="str">
        <f>"4574674200867372"</f>
        <v>4574674200867372</v>
      </c>
      <c r="F7058" t="str">
        <f>"527"</f>
        <v>527</v>
      </c>
      <c r="G7058">
        <v>1</v>
      </c>
      <c r="H7058">
        <v>2023</v>
      </c>
      <c r="I7058" t="s">
        <v>7173</v>
      </c>
    </row>
    <row r="7059" spans="1:9" x14ac:dyDescent="0.3">
      <c r="A7059" t="s">
        <v>10138</v>
      </c>
      <c r="B7059" t="s">
        <v>30</v>
      </c>
      <c r="C7059">
        <v>7648876604</v>
      </c>
      <c r="D7059" s="2">
        <v>1</v>
      </c>
      <c r="E7059" t="str">
        <f>"4574674200867125"</f>
        <v>4574674200867125</v>
      </c>
      <c r="F7059" t="str">
        <f>"069"</f>
        <v>069</v>
      </c>
      <c r="G7059">
        <v>1</v>
      </c>
      <c r="H7059">
        <v>2023</v>
      </c>
      <c r="I7059" t="s">
        <v>7174</v>
      </c>
    </row>
    <row r="7060" spans="1:9" x14ac:dyDescent="0.3">
      <c r="A7060" t="s">
        <v>10138</v>
      </c>
      <c r="B7060" t="s">
        <v>30</v>
      </c>
      <c r="C7060">
        <v>7648876604</v>
      </c>
      <c r="D7060" s="2">
        <v>1</v>
      </c>
      <c r="E7060" t="str">
        <f>"4574674200867414"</f>
        <v>4574674200867414</v>
      </c>
      <c r="F7060" t="str">
        <f>"469"</f>
        <v>469</v>
      </c>
      <c r="G7060">
        <v>1</v>
      </c>
      <c r="H7060">
        <v>2023</v>
      </c>
      <c r="I7060" t="s">
        <v>7175</v>
      </c>
    </row>
    <row r="7061" spans="1:9" x14ac:dyDescent="0.3">
      <c r="A7061" t="s">
        <v>10138</v>
      </c>
      <c r="B7061" t="s">
        <v>30</v>
      </c>
      <c r="C7061">
        <v>7648876604</v>
      </c>
      <c r="D7061" s="2">
        <v>1</v>
      </c>
      <c r="E7061" t="str">
        <f>"4574674200867422"</f>
        <v>4574674200867422</v>
      </c>
      <c r="F7061" t="str">
        <f>"038"</f>
        <v>038</v>
      </c>
      <c r="G7061">
        <v>1</v>
      </c>
      <c r="H7061">
        <v>2023</v>
      </c>
      <c r="I7061" t="s">
        <v>7176</v>
      </c>
    </row>
    <row r="7062" spans="1:9" x14ac:dyDescent="0.3">
      <c r="A7062" t="s">
        <v>10138</v>
      </c>
      <c r="B7062" t="s">
        <v>30</v>
      </c>
      <c r="C7062">
        <v>7648876604</v>
      </c>
      <c r="D7062" s="2">
        <v>1</v>
      </c>
      <c r="E7062" t="str">
        <f>"4574674200867513"</f>
        <v>4574674200867513</v>
      </c>
      <c r="F7062" t="str">
        <f>"035"</f>
        <v>035</v>
      </c>
      <c r="G7062">
        <v>1</v>
      </c>
      <c r="H7062">
        <v>2023</v>
      </c>
      <c r="I7062" t="s">
        <v>7177</v>
      </c>
    </row>
    <row r="7063" spans="1:9" x14ac:dyDescent="0.3">
      <c r="A7063" t="s">
        <v>10138</v>
      </c>
      <c r="B7063" t="s">
        <v>30</v>
      </c>
      <c r="C7063">
        <v>7648876604</v>
      </c>
      <c r="D7063" s="2">
        <v>1</v>
      </c>
      <c r="E7063" t="str">
        <f>"4574674200867190"</f>
        <v>4574674200867190</v>
      </c>
      <c r="F7063" t="str">
        <f>"478"</f>
        <v>478</v>
      </c>
      <c r="G7063">
        <v>1</v>
      </c>
      <c r="H7063">
        <v>2023</v>
      </c>
      <c r="I7063" t="s">
        <v>7178</v>
      </c>
    </row>
    <row r="7064" spans="1:9" x14ac:dyDescent="0.3">
      <c r="A7064" t="s">
        <v>10138</v>
      </c>
      <c r="B7064" t="s">
        <v>30</v>
      </c>
      <c r="C7064">
        <v>7648876604</v>
      </c>
      <c r="D7064" s="2">
        <v>1</v>
      </c>
      <c r="E7064" t="str">
        <f>"4574674200867539"</f>
        <v>4574674200867539</v>
      </c>
      <c r="F7064" t="str">
        <f>"978"</f>
        <v>978</v>
      </c>
      <c r="G7064">
        <v>1</v>
      </c>
      <c r="H7064">
        <v>2023</v>
      </c>
      <c r="I7064" t="s">
        <v>7179</v>
      </c>
    </row>
    <row r="7065" spans="1:9" x14ac:dyDescent="0.3">
      <c r="A7065" t="s">
        <v>10138</v>
      </c>
      <c r="B7065" t="s">
        <v>30</v>
      </c>
      <c r="C7065">
        <v>7648876604</v>
      </c>
      <c r="D7065" s="2">
        <v>1</v>
      </c>
      <c r="E7065" t="str">
        <f>"4574674200867604"</f>
        <v>4574674200867604</v>
      </c>
      <c r="F7065" t="str">
        <f>"630"</f>
        <v>630</v>
      </c>
      <c r="G7065">
        <v>1</v>
      </c>
      <c r="H7065">
        <v>2023</v>
      </c>
      <c r="I7065" t="s">
        <v>7180</v>
      </c>
    </row>
    <row r="7066" spans="1:9" x14ac:dyDescent="0.3">
      <c r="A7066" t="s">
        <v>10138</v>
      </c>
      <c r="B7066" t="s">
        <v>30</v>
      </c>
      <c r="C7066">
        <v>7648876604</v>
      </c>
      <c r="D7066" s="2">
        <v>1</v>
      </c>
      <c r="E7066" t="str">
        <f>"4574674200867562"</f>
        <v>4574674200867562</v>
      </c>
      <c r="F7066" t="str">
        <f>"780"</f>
        <v>780</v>
      </c>
      <c r="G7066">
        <v>1</v>
      </c>
      <c r="H7066">
        <v>2023</v>
      </c>
      <c r="I7066" t="s">
        <v>7181</v>
      </c>
    </row>
    <row r="7067" spans="1:9" x14ac:dyDescent="0.3">
      <c r="A7067" t="s">
        <v>10139</v>
      </c>
      <c r="B7067" t="s">
        <v>31</v>
      </c>
      <c r="C7067">
        <v>7648876604</v>
      </c>
      <c r="D7067" s="2">
        <v>1</v>
      </c>
      <c r="E7067" t="str">
        <f>"4574674200867596"</f>
        <v>4574674200867596</v>
      </c>
      <c r="F7067" t="str">
        <f>"657"</f>
        <v>657</v>
      </c>
      <c r="G7067">
        <v>1</v>
      </c>
      <c r="H7067">
        <v>2023</v>
      </c>
      <c r="I7067" t="s">
        <v>7182</v>
      </c>
    </row>
    <row r="7068" spans="1:9" x14ac:dyDescent="0.3">
      <c r="A7068" t="s">
        <v>10139</v>
      </c>
      <c r="B7068" t="s">
        <v>31</v>
      </c>
      <c r="C7068">
        <v>7648876604</v>
      </c>
      <c r="D7068" s="2">
        <v>1</v>
      </c>
      <c r="E7068" t="str">
        <f>"4574674200867646"</f>
        <v>4574674200867646</v>
      </c>
      <c r="F7068" t="str">
        <f>"504"</f>
        <v>504</v>
      </c>
      <c r="G7068">
        <v>1</v>
      </c>
      <c r="H7068">
        <v>2023</v>
      </c>
      <c r="I7068" t="s">
        <v>7183</v>
      </c>
    </row>
    <row r="7069" spans="1:9" x14ac:dyDescent="0.3">
      <c r="A7069" t="s">
        <v>10139</v>
      </c>
      <c r="B7069" t="s">
        <v>31</v>
      </c>
      <c r="C7069">
        <v>7648876604</v>
      </c>
      <c r="D7069" s="2">
        <v>1</v>
      </c>
      <c r="E7069" t="str">
        <f>"4574674200867901"</f>
        <v>4574674200867901</v>
      </c>
      <c r="F7069" t="str">
        <f>"680"</f>
        <v>680</v>
      </c>
      <c r="G7069">
        <v>1</v>
      </c>
      <c r="H7069">
        <v>2023</v>
      </c>
      <c r="I7069" t="s">
        <v>7184</v>
      </c>
    </row>
    <row r="7070" spans="1:9" x14ac:dyDescent="0.3">
      <c r="A7070" t="s">
        <v>10139</v>
      </c>
      <c r="B7070" t="s">
        <v>31</v>
      </c>
      <c r="C7070">
        <v>7648876604</v>
      </c>
      <c r="D7070" s="2">
        <v>1</v>
      </c>
      <c r="E7070" t="str">
        <f>"4574674200867927"</f>
        <v>4574674200867927</v>
      </c>
      <c r="F7070" t="str">
        <f>"350"</f>
        <v>350</v>
      </c>
      <c r="G7070">
        <v>1</v>
      </c>
      <c r="H7070">
        <v>2023</v>
      </c>
      <c r="I7070" t="s">
        <v>7185</v>
      </c>
    </row>
    <row r="7071" spans="1:9" x14ac:dyDescent="0.3">
      <c r="A7071" t="s">
        <v>10139</v>
      </c>
      <c r="B7071" t="s">
        <v>31</v>
      </c>
      <c r="C7071">
        <v>7648876604</v>
      </c>
      <c r="D7071" s="2">
        <v>1</v>
      </c>
      <c r="E7071" t="str">
        <f>"4574674200867935"</f>
        <v>4574674200867935</v>
      </c>
      <c r="F7071" t="str">
        <f>"633"</f>
        <v>633</v>
      </c>
      <c r="G7071">
        <v>1</v>
      </c>
      <c r="H7071">
        <v>2023</v>
      </c>
      <c r="I7071" t="s">
        <v>7186</v>
      </c>
    </row>
    <row r="7072" spans="1:9" x14ac:dyDescent="0.3">
      <c r="A7072" t="s">
        <v>10139</v>
      </c>
      <c r="B7072" t="s">
        <v>31</v>
      </c>
      <c r="C7072">
        <v>7648876604</v>
      </c>
      <c r="D7072" s="2">
        <v>1</v>
      </c>
      <c r="E7072" t="str">
        <f>"4574674200867943"</f>
        <v>4574674200867943</v>
      </c>
      <c r="F7072" t="str">
        <f>"345"</f>
        <v>345</v>
      </c>
      <c r="G7072">
        <v>1</v>
      </c>
      <c r="H7072">
        <v>2023</v>
      </c>
      <c r="I7072" t="s">
        <v>7187</v>
      </c>
    </row>
    <row r="7073" spans="1:9" x14ac:dyDescent="0.3">
      <c r="A7073" t="s">
        <v>10139</v>
      </c>
      <c r="B7073" t="s">
        <v>31</v>
      </c>
      <c r="C7073">
        <v>7648876604</v>
      </c>
      <c r="D7073" s="2">
        <v>1</v>
      </c>
      <c r="E7073" t="str">
        <f>"4574674200867729"</f>
        <v>4574674200867729</v>
      </c>
      <c r="F7073" t="str">
        <f>"765"</f>
        <v>765</v>
      </c>
      <c r="G7073">
        <v>1</v>
      </c>
      <c r="H7073">
        <v>2023</v>
      </c>
      <c r="I7073" t="s">
        <v>7188</v>
      </c>
    </row>
    <row r="7074" spans="1:9" x14ac:dyDescent="0.3">
      <c r="A7074" t="s">
        <v>10139</v>
      </c>
      <c r="B7074" t="s">
        <v>31</v>
      </c>
      <c r="C7074">
        <v>7648876604</v>
      </c>
      <c r="D7074" s="2">
        <v>1</v>
      </c>
      <c r="E7074" t="str">
        <f>"4574674200867737"</f>
        <v>4574674200867737</v>
      </c>
      <c r="F7074" t="str">
        <f>"364"</f>
        <v>364</v>
      </c>
      <c r="G7074">
        <v>1</v>
      </c>
      <c r="H7074">
        <v>2023</v>
      </c>
      <c r="I7074" t="s">
        <v>7189</v>
      </c>
    </row>
    <row r="7075" spans="1:9" x14ac:dyDescent="0.3">
      <c r="A7075" t="s">
        <v>10139</v>
      </c>
      <c r="B7075" t="s">
        <v>31</v>
      </c>
      <c r="C7075">
        <v>7648876604</v>
      </c>
      <c r="D7075" s="2">
        <v>1</v>
      </c>
      <c r="E7075" t="str">
        <f>"4574674200867760"</f>
        <v>4574674200867760</v>
      </c>
      <c r="F7075" t="str">
        <f>"682"</f>
        <v>682</v>
      </c>
      <c r="G7075">
        <v>1</v>
      </c>
      <c r="H7075">
        <v>2023</v>
      </c>
      <c r="I7075" t="s">
        <v>7190</v>
      </c>
    </row>
    <row r="7076" spans="1:9" x14ac:dyDescent="0.3">
      <c r="A7076" t="s">
        <v>10139</v>
      </c>
      <c r="B7076" t="s">
        <v>31</v>
      </c>
      <c r="C7076">
        <v>7648876604</v>
      </c>
      <c r="D7076" s="2">
        <v>1</v>
      </c>
      <c r="E7076" t="str">
        <f>"4574674200868073"</f>
        <v>4574674200868073</v>
      </c>
      <c r="F7076" t="str">
        <f>"839"</f>
        <v>839</v>
      </c>
      <c r="G7076">
        <v>1</v>
      </c>
      <c r="H7076">
        <v>2023</v>
      </c>
      <c r="I7076" t="s">
        <v>7191</v>
      </c>
    </row>
    <row r="7077" spans="1:9" x14ac:dyDescent="0.3">
      <c r="A7077" t="s">
        <v>10138</v>
      </c>
      <c r="B7077" t="s">
        <v>30</v>
      </c>
      <c r="C7077">
        <v>7648876604</v>
      </c>
      <c r="D7077" s="2">
        <v>1</v>
      </c>
      <c r="E7077" t="str">
        <f>"4574674200868099"</f>
        <v>4574674200868099</v>
      </c>
      <c r="F7077" t="str">
        <f>"691"</f>
        <v>691</v>
      </c>
      <c r="G7077">
        <v>1</v>
      </c>
      <c r="H7077">
        <v>2023</v>
      </c>
      <c r="I7077" t="s">
        <v>7192</v>
      </c>
    </row>
    <row r="7078" spans="1:9" x14ac:dyDescent="0.3">
      <c r="A7078" t="s">
        <v>10138</v>
      </c>
      <c r="B7078" t="s">
        <v>30</v>
      </c>
      <c r="C7078">
        <v>7648876604</v>
      </c>
      <c r="D7078" s="2">
        <v>1</v>
      </c>
      <c r="E7078" t="str">
        <f>"4574674200868115"</f>
        <v>4574674200868115</v>
      </c>
      <c r="F7078" t="str">
        <f>"604"</f>
        <v>604</v>
      </c>
      <c r="G7078">
        <v>1</v>
      </c>
      <c r="H7078">
        <v>2023</v>
      </c>
      <c r="I7078" t="s">
        <v>7193</v>
      </c>
    </row>
    <row r="7079" spans="1:9" x14ac:dyDescent="0.3">
      <c r="A7079" t="s">
        <v>10138</v>
      </c>
      <c r="B7079" t="s">
        <v>30</v>
      </c>
      <c r="C7079">
        <v>7648876604</v>
      </c>
      <c r="D7079" s="2">
        <v>1</v>
      </c>
      <c r="E7079" t="str">
        <f>"4574674200868438"</f>
        <v>4574674200868438</v>
      </c>
      <c r="F7079" t="str">
        <f>"768"</f>
        <v>768</v>
      </c>
      <c r="G7079">
        <v>1</v>
      </c>
      <c r="H7079">
        <v>2023</v>
      </c>
      <c r="I7079" t="s">
        <v>7194</v>
      </c>
    </row>
    <row r="7080" spans="1:9" x14ac:dyDescent="0.3">
      <c r="A7080" t="s">
        <v>10138</v>
      </c>
      <c r="B7080" t="s">
        <v>30</v>
      </c>
      <c r="C7080">
        <v>7648876604</v>
      </c>
      <c r="D7080" s="2">
        <v>1</v>
      </c>
      <c r="E7080" t="str">
        <f>"4574674200868446"</f>
        <v>4574674200868446</v>
      </c>
      <c r="F7080" t="str">
        <f>"973"</f>
        <v>973</v>
      </c>
      <c r="G7080">
        <v>1</v>
      </c>
      <c r="H7080">
        <v>2023</v>
      </c>
      <c r="I7080" t="s">
        <v>7195</v>
      </c>
    </row>
    <row r="7081" spans="1:9" x14ac:dyDescent="0.3">
      <c r="A7081" t="s">
        <v>10138</v>
      </c>
      <c r="B7081" t="s">
        <v>30</v>
      </c>
      <c r="C7081">
        <v>7648876604</v>
      </c>
      <c r="D7081" s="2">
        <v>1</v>
      </c>
      <c r="E7081" t="str">
        <f>"4574674200868461"</f>
        <v>4574674200868461</v>
      </c>
      <c r="F7081" t="str">
        <f>"608"</f>
        <v>608</v>
      </c>
      <c r="G7081">
        <v>1</v>
      </c>
      <c r="H7081">
        <v>2023</v>
      </c>
      <c r="I7081" t="s">
        <v>7196</v>
      </c>
    </row>
    <row r="7082" spans="1:9" x14ac:dyDescent="0.3">
      <c r="A7082" t="s">
        <v>10138</v>
      </c>
      <c r="B7082" t="s">
        <v>30</v>
      </c>
      <c r="C7082">
        <v>7648876604</v>
      </c>
      <c r="D7082" s="2">
        <v>1</v>
      </c>
      <c r="E7082" t="str">
        <f>"4574674200869782"</f>
        <v>4574674200869782</v>
      </c>
      <c r="F7082" t="str">
        <f>"218"</f>
        <v>218</v>
      </c>
      <c r="G7082">
        <v>1</v>
      </c>
      <c r="H7082">
        <v>2023</v>
      </c>
      <c r="I7082" t="s">
        <v>7197</v>
      </c>
    </row>
    <row r="7083" spans="1:9" x14ac:dyDescent="0.3">
      <c r="A7083" t="s">
        <v>10138</v>
      </c>
      <c r="B7083" t="s">
        <v>30</v>
      </c>
      <c r="C7083">
        <v>7648876604</v>
      </c>
      <c r="D7083" s="2">
        <v>1</v>
      </c>
      <c r="E7083" t="str">
        <f>"4574674200869832"</f>
        <v>4574674200869832</v>
      </c>
      <c r="F7083" t="str">
        <f>"324"</f>
        <v>324</v>
      </c>
      <c r="G7083">
        <v>1</v>
      </c>
      <c r="H7083">
        <v>2023</v>
      </c>
      <c r="I7083" t="s">
        <v>7198</v>
      </c>
    </row>
    <row r="7084" spans="1:9" x14ac:dyDescent="0.3">
      <c r="A7084" t="s">
        <v>10138</v>
      </c>
      <c r="B7084" t="s">
        <v>30</v>
      </c>
      <c r="C7084">
        <v>7648876604</v>
      </c>
      <c r="D7084" s="2">
        <v>1</v>
      </c>
      <c r="E7084" t="str">
        <f>"4574674200869956"</f>
        <v>4574674200869956</v>
      </c>
      <c r="F7084" t="str">
        <f>"185"</f>
        <v>185</v>
      </c>
      <c r="G7084">
        <v>1</v>
      </c>
      <c r="H7084">
        <v>2023</v>
      </c>
      <c r="I7084" t="s">
        <v>7199</v>
      </c>
    </row>
    <row r="7085" spans="1:9" x14ac:dyDescent="0.3">
      <c r="A7085" t="s">
        <v>10138</v>
      </c>
      <c r="B7085" t="s">
        <v>30</v>
      </c>
      <c r="C7085">
        <v>7648876604</v>
      </c>
      <c r="D7085" s="2">
        <v>1</v>
      </c>
      <c r="E7085" t="str">
        <f>"4574674200869964"</f>
        <v>4574674200869964</v>
      </c>
      <c r="F7085" t="str">
        <f>"606"</f>
        <v>606</v>
      </c>
      <c r="G7085">
        <v>1</v>
      </c>
      <c r="H7085">
        <v>2023</v>
      </c>
      <c r="I7085" t="s">
        <v>7200</v>
      </c>
    </row>
    <row r="7086" spans="1:9" x14ac:dyDescent="0.3">
      <c r="A7086" t="s">
        <v>10138</v>
      </c>
      <c r="B7086" t="s">
        <v>30</v>
      </c>
      <c r="C7086">
        <v>7648876604</v>
      </c>
      <c r="D7086" s="2">
        <v>1</v>
      </c>
      <c r="E7086" t="str">
        <f>"4574674200870053"</f>
        <v>4574674200870053</v>
      </c>
      <c r="F7086" t="str">
        <f>"763"</f>
        <v>763</v>
      </c>
      <c r="G7086">
        <v>1</v>
      </c>
      <c r="H7086">
        <v>2023</v>
      </c>
      <c r="I7086" t="s">
        <v>7201</v>
      </c>
    </row>
    <row r="7087" spans="1:9" x14ac:dyDescent="0.3">
      <c r="A7087" t="s">
        <v>10140</v>
      </c>
      <c r="B7087" t="s">
        <v>32</v>
      </c>
      <c r="C7087">
        <v>7648876604</v>
      </c>
      <c r="D7087" s="2">
        <v>1</v>
      </c>
      <c r="E7087" t="str">
        <f>"4574674200870061"</f>
        <v>4574674200870061</v>
      </c>
      <c r="F7087" t="str">
        <f>"641"</f>
        <v>641</v>
      </c>
      <c r="G7087">
        <v>1</v>
      </c>
      <c r="H7087">
        <v>2023</v>
      </c>
      <c r="I7087" t="s">
        <v>7202</v>
      </c>
    </row>
    <row r="7088" spans="1:9" x14ac:dyDescent="0.3">
      <c r="A7088" t="s">
        <v>10140</v>
      </c>
      <c r="B7088" t="s">
        <v>32</v>
      </c>
      <c r="C7088">
        <v>7648876604</v>
      </c>
      <c r="D7088" s="2">
        <v>1</v>
      </c>
      <c r="E7088" t="str">
        <f>"4574674200870103"</f>
        <v>4574674200870103</v>
      </c>
      <c r="F7088" t="str">
        <f>"412"</f>
        <v>412</v>
      </c>
      <c r="G7088">
        <v>1</v>
      </c>
      <c r="H7088">
        <v>2023</v>
      </c>
      <c r="I7088" t="s">
        <v>7203</v>
      </c>
    </row>
    <row r="7089" spans="1:9" x14ac:dyDescent="0.3">
      <c r="A7089" t="s">
        <v>10140</v>
      </c>
      <c r="B7089" t="s">
        <v>32</v>
      </c>
      <c r="C7089">
        <v>7648876604</v>
      </c>
      <c r="D7089" s="2">
        <v>1</v>
      </c>
      <c r="E7089" t="str">
        <f>"4574674200870368"</f>
        <v>4574674200870368</v>
      </c>
      <c r="F7089" t="str">
        <f>"595"</f>
        <v>595</v>
      </c>
      <c r="G7089">
        <v>1</v>
      </c>
      <c r="H7089">
        <v>2023</v>
      </c>
      <c r="I7089" t="s">
        <v>7204</v>
      </c>
    </row>
    <row r="7090" spans="1:9" x14ac:dyDescent="0.3">
      <c r="A7090" t="s">
        <v>10140</v>
      </c>
      <c r="B7090" t="s">
        <v>32</v>
      </c>
      <c r="C7090">
        <v>7648876604</v>
      </c>
      <c r="D7090" s="2">
        <v>1</v>
      </c>
      <c r="E7090" t="str">
        <f>"4574674200870319"</f>
        <v>4574674200870319</v>
      </c>
      <c r="F7090" t="str">
        <f>"406"</f>
        <v>406</v>
      </c>
      <c r="G7090">
        <v>1</v>
      </c>
      <c r="H7090">
        <v>2023</v>
      </c>
      <c r="I7090" t="s">
        <v>7205</v>
      </c>
    </row>
    <row r="7091" spans="1:9" x14ac:dyDescent="0.3">
      <c r="A7091" t="s">
        <v>10140</v>
      </c>
      <c r="B7091" t="s">
        <v>32</v>
      </c>
      <c r="C7091">
        <v>7648876604</v>
      </c>
      <c r="D7091" s="2">
        <v>1</v>
      </c>
      <c r="E7091" t="str">
        <f>"4574674200870301"</f>
        <v>4574674200870301</v>
      </c>
      <c r="F7091" t="str">
        <f>"901"</f>
        <v>901</v>
      </c>
      <c r="G7091">
        <v>1</v>
      </c>
      <c r="H7091">
        <v>2023</v>
      </c>
      <c r="I7091" t="s">
        <v>7206</v>
      </c>
    </row>
    <row r="7092" spans="1:9" x14ac:dyDescent="0.3">
      <c r="A7092" t="s">
        <v>10140</v>
      </c>
      <c r="B7092" t="s">
        <v>32</v>
      </c>
      <c r="C7092">
        <v>7648876604</v>
      </c>
      <c r="D7092" s="2">
        <v>1</v>
      </c>
      <c r="E7092" t="str">
        <f>"4574674200870327"</f>
        <v>4574674200870327</v>
      </c>
      <c r="F7092" t="str">
        <f>"489"</f>
        <v>489</v>
      </c>
      <c r="G7092">
        <v>1</v>
      </c>
      <c r="H7092">
        <v>2023</v>
      </c>
      <c r="I7092" t="s">
        <v>7207</v>
      </c>
    </row>
    <row r="7093" spans="1:9" x14ac:dyDescent="0.3">
      <c r="A7093" t="s">
        <v>10140</v>
      </c>
      <c r="B7093" t="s">
        <v>32</v>
      </c>
      <c r="C7093">
        <v>7648876604</v>
      </c>
      <c r="D7093" s="2">
        <v>1</v>
      </c>
      <c r="E7093" t="str">
        <f>"4574674200870475"</f>
        <v>4574674200870475</v>
      </c>
      <c r="F7093" t="str">
        <f>"447"</f>
        <v>447</v>
      </c>
      <c r="G7093">
        <v>1</v>
      </c>
      <c r="H7093">
        <v>2023</v>
      </c>
      <c r="I7093" t="s">
        <v>7208</v>
      </c>
    </row>
    <row r="7094" spans="1:9" x14ac:dyDescent="0.3">
      <c r="A7094" t="s">
        <v>10140</v>
      </c>
      <c r="B7094" t="s">
        <v>32</v>
      </c>
      <c r="C7094">
        <v>7648876604</v>
      </c>
      <c r="D7094" s="2">
        <v>1</v>
      </c>
      <c r="E7094" t="str">
        <f>"4574674200870483"</f>
        <v>4574674200870483</v>
      </c>
      <c r="F7094" t="str">
        <f>"839"</f>
        <v>839</v>
      </c>
      <c r="G7094">
        <v>1</v>
      </c>
      <c r="H7094">
        <v>2023</v>
      </c>
      <c r="I7094" t="s">
        <v>7209</v>
      </c>
    </row>
    <row r="7095" spans="1:9" x14ac:dyDescent="0.3">
      <c r="A7095" t="s">
        <v>10140</v>
      </c>
      <c r="B7095" t="s">
        <v>32</v>
      </c>
      <c r="C7095">
        <v>7648876604</v>
      </c>
      <c r="D7095" s="2">
        <v>1</v>
      </c>
      <c r="E7095" t="str">
        <f>"4574674200870491"</f>
        <v>4574674200870491</v>
      </c>
      <c r="F7095" t="str">
        <f>"397"</f>
        <v>397</v>
      </c>
      <c r="G7095">
        <v>1</v>
      </c>
      <c r="H7095">
        <v>2023</v>
      </c>
      <c r="I7095" t="s">
        <v>7210</v>
      </c>
    </row>
    <row r="7096" spans="1:9" x14ac:dyDescent="0.3">
      <c r="A7096" t="s">
        <v>10140</v>
      </c>
      <c r="B7096" t="s">
        <v>32</v>
      </c>
      <c r="C7096">
        <v>7648876604</v>
      </c>
      <c r="D7096" s="2">
        <v>1</v>
      </c>
      <c r="E7096" t="str">
        <f>"4574674200870517"</f>
        <v>4574674200870517</v>
      </c>
      <c r="F7096" t="str">
        <f>"421"</f>
        <v>421</v>
      </c>
      <c r="G7096">
        <v>1</v>
      </c>
      <c r="H7096">
        <v>2023</v>
      </c>
      <c r="I7096" t="s">
        <v>7211</v>
      </c>
    </row>
    <row r="7097" spans="1:9" x14ac:dyDescent="0.3">
      <c r="A7097" t="s">
        <v>10141</v>
      </c>
      <c r="B7097" t="s">
        <v>33</v>
      </c>
      <c r="C7097">
        <v>7648876604</v>
      </c>
      <c r="D7097" s="2">
        <v>1</v>
      </c>
      <c r="E7097" t="str">
        <f>"4574674200870178"</f>
        <v>4574674200870178</v>
      </c>
      <c r="F7097" t="str">
        <f>"615"</f>
        <v>615</v>
      </c>
      <c r="G7097">
        <v>1</v>
      </c>
      <c r="H7097">
        <v>2023</v>
      </c>
      <c r="I7097" t="s">
        <v>7212</v>
      </c>
    </row>
    <row r="7098" spans="1:9" x14ac:dyDescent="0.3">
      <c r="A7098" t="s">
        <v>10141</v>
      </c>
      <c r="B7098" t="s">
        <v>33</v>
      </c>
      <c r="C7098">
        <v>7648876604</v>
      </c>
      <c r="D7098" s="2">
        <v>1</v>
      </c>
      <c r="E7098" t="str">
        <f>"4574674200870194"</f>
        <v>4574674200870194</v>
      </c>
      <c r="F7098" t="str">
        <f>"433"</f>
        <v>433</v>
      </c>
      <c r="G7098">
        <v>1</v>
      </c>
      <c r="H7098">
        <v>2023</v>
      </c>
      <c r="I7098" t="s">
        <v>7213</v>
      </c>
    </row>
    <row r="7099" spans="1:9" x14ac:dyDescent="0.3">
      <c r="A7099" t="s">
        <v>10141</v>
      </c>
      <c r="B7099" t="s">
        <v>33</v>
      </c>
      <c r="C7099">
        <v>7648876604</v>
      </c>
      <c r="D7099" s="2">
        <v>1</v>
      </c>
      <c r="E7099" t="str">
        <f>"4574674200870616"</f>
        <v>4574674200870616</v>
      </c>
      <c r="F7099" t="str">
        <f>"753"</f>
        <v>753</v>
      </c>
      <c r="G7099">
        <v>1</v>
      </c>
      <c r="H7099">
        <v>2023</v>
      </c>
      <c r="I7099" t="s">
        <v>7214</v>
      </c>
    </row>
    <row r="7100" spans="1:9" x14ac:dyDescent="0.3">
      <c r="A7100" t="s">
        <v>10141</v>
      </c>
      <c r="B7100" t="s">
        <v>33</v>
      </c>
      <c r="C7100">
        <v>7648876604</v>
      </c>
      <c r="D7100" s="2">
        <v>1</v>
      </c>
      <c r="E7100" t="str">
        <f>"4574674200870806"</f>
        <v>4574674200870806</v>
      </c>
      <c r="F7100" t="str">
        <f>"599"</f>
        <v>599</v>
      </c>
      <c r="G7100">
        <v>1</v>
      </c>
      <c r="H7100">
        <v>2023</v>
      </c>
      <c r="I7100" t="s">
        <v>7215</v>
      </c>
    </row>
    <row r="7101" spans="1:9" x14ac:dyDescent="0.3">
      <c r="A7101" t="s">
        <v>10141</v>
      </c>
      <c r="B7101" t="s">
        <v>33</v>
      </c>
      <c r="C7101">
        <v>7648876604</v>
      </c>
      <c r="D7101" s="2">
        <v>1</v>
      </c>
      <c r="E7101" t="str">
        <f>"4574674200870848"</f>
        <v>4574674200870848</v>
      </c>
      <c r="F7101" t="str">
        <f>"609"</f>
        <v>609</v>
      </c>
      <c r="G7101">
        <v>1</v>
      </c>
      <c r="H7101">
        <v>2023</v>
      </c>
      <c r="I7101" t="s">
        <v>7216</v>
      </c>
    </row>
    <row r="7102" spans="1:9" x14ac:dyDescent="0.3">
      <c r="A7102" t="s">
        <v>10141</v>
      </c>
      <c r="B7102" t="s">
        <v>33</v>
      </c>
      <c r="C7102">
        <v>7648876604</v>
      </c>
      <c r="D7102" s="2">
        <v>1</v>
      </c>
      <c r="E7102" t="str">
        <f>"4574674200870871"</f>
        <v>4574674200870871</v>
      </c>
      <c r="F7102" t="str">
        <f>"583"</f>
        <v>583</v>
      </c>
      <c r="G7102">
        <v>1</v>
      </c>
      <c r="H7102">
        <v>2023</v>
      </c>
      <c r="I7102" t="s">
        <v>7217</v>
      </c>
    </row>
    <row r="7103" spans="1:9" x14ac:dyDescent="0.3">
      <c r="A7103" t="s">
        <v>10141</v>
      </c>
      <c r="B7103" t="s">
        <v>33</v>
      </c>
      <c r="C7103">
        <v>7648876604</v>
      </c>
      <c r="D7103" s="2">
        <v>1</v>
      </c>
      <c r="E7103" t="str">
        <f>"4574674200870889"</f>
        <v>4574674200870889</v>
      </c>
      <c r="F7103" t="str">
        <f>"810"</f>
        <v>810</v>
      </c>
      <c r="G7103">
        <v>1</v>
      </c>
      <c r="H7103">
        <v>2023</v>
      </c>
      <c r="I7103" t="s">
        <v>7218</v>
      </c>
    </row>
    <row r="7104" spans="1:9" x14ac:dyDescent="0.3">
      <c r="A7104" t="s">
        <v>10141</v>
      </c>
      <c r="B7104" t="s">
        <v>33</v>
      </c>
      <c r="C7104">
        <v>7648876604</v>
      </c>
      <c r="D7104" s="2">
        <v>1</v>
      </c>
      <c r="E7104" t="str">
        <f>"4574674200870699"</f>
        <v>4574674200870699</v>
      </c>
      <c r="F7104" t="str">
        <f>"770"</f>
        <v>770</v>
      </c>
      <c r="G7104">
        <v>1</v>
      </c>
      <c r="H7104">
        <v>2023</v>
      </c>
      <c r="I7104" t="s">
        <v>7219</v>
      </c>
    </row>
    <row r="7105" spans="1:9" x14ac:dyDescent="0.3">
      <c r="A7105" t="s">
        <v>10141</v>
      </c>
      <c r="B7105" t="s">
        <v>33</v>
      </c>
      <c r="C7105">
        <v>7648876604</v>
      </c>
      <c r="D7105" s="2">
        <v>1</v>
      </c>
      <c r="E7105" t="str">
        <f>"4574674200870707"</f>
        <v>4574674200870707</v>
      </c>
      <c r="F7105" t="str">
        <f>"871"</f>
        <v>871</v>
      </c>
      <c r="G7105">
        <v>1</v>
      </c>
      <c r="H7105">
        <v>2023</v>
      </c>
      <c r="I7105" t="s">
        <v>7220</v>
      </c>
    </row>
    <row r="7106" spans="1:9" x14ac:dyDescent="0.3">
      <c r="A7106" t="s">
        <v>10141</v>
      </c>
      <c r="B7106" t="s">
        <v>33</v>
      </c>
      <c r="C7106">
        <v>7648876604</v>
      </c>
      <c r="D7106" s="2">
        <v>1</v>
      </c>
      <c r="E7106" t="str">
        <f>"4574674200870731"</f>
        <v>4574674200870731</v>
      </c>
      <c r="F7106" t="str">
        <f>"440"</f>
        <v>440</v>
      </c>
      <c r="G7106">
        <v>1</v>
      </c>
      <c r="H7106">
        <v>2023</v>
      </c>
      <c r="I7106" t="s">
        <v>7221</v>
      </c>
    </row>
    <row r="7107" spans="1:9" x14ac:dyDescent="0.3">
      <c r="A7107" t="s">
        <v>10142</v>
      </c>
      <c r="B7107" t="s">
        <v>34</v>
      </c>
      <c r="C7107">
        <v>7648876604</v>
      </c>
      <c r="D7107" s="2">
        <v>1</v>
      </c>
      <c r="E7107" t="str">
        <f>"4574674200870988"</f>
        <v>4574674200870988</v>
      </c>
      <c r="F7107" t="str">
        <f>"032"</f>
        <v>032</v>
      </c>
      <c r="G7107">
        <v>1</v>
      </c>
      <c r="H7107">
        <v>2023</v>
      </c>
      <c r="I7107" t="s">
        <v>7222</v>
      </c>
    </row>
    <row r="7108" spans="1:9" x14ac:dyDescent="0.3">
      <c r="A7108" t="s">
        <v>10142</v>
      </c>
      <c r="B7108" t="s">
        <v>34</v>
      </c>
      <c r="C7108">
        <v>7648876604</v>
      </c>
      <c r="D7108" s="2">
        <v>1</v>
      </c>
      <c r="E7108" t="str">
        <f>"4574674200871010"</f>
        <v>4574674200871010</v>
      </c>
      <c r="F7108" t="str">
        <f>"722"</f>
        <v>722</v>
      </c>
      <c r="G7108">
        <v>1</v>
      </c>
      <c r="H7108">
        <v>2023</v>
      </c>
      <c r="I7108" t="s">
        <v>7223</v>
      </c>
    </row>
    <row r="7109" spans="1:9" x14ac:dyDescent="0.3">
      <c r="A7109" t="s">
        <v>10142</v>
      </c>
      <c r="B7109" t="s">
        <v>34</v>
      </c>
      <c r="C7109">
        <v>7648876604</v>
      </c>
      <c r="D7109" s="2">
        <v>1</v>
      </c>
      <c r="E7109" t="str">
        <f>"4574674200871044"</f>
        <v>4574674200871044</v>
      </c>
      <c r="F7109" t="str">
        <f>"595"</f>
        <v>595</v>
      </c>
      <c r="G7109">
        <v>1</v>
      </c>
      <c r="H7109">
        <v>2023</v>
      </c>
      <c r="I7109" t="s">
        <v>7224</v>
      </c>
    </row>
    <row r="7110" spans="1:9" x14ac:dyDescent="0.3">
      <c r="A7110" t="s">
        <v>10142</v>
      </c>
      <c r="B7110" t="s">
        <v>34</v>
      </c>
      <c r="C7110">
        <v>7648876604</v>
      </c>
      <c r="D7110" s="2">
        <v>1</v>
      </c>
      <c r="E7110" t="str">
        <f>"4574674200871051"</f>
        <v>4574674200871051</v>
      </c>
      <c r="F7110" t="str">
        <f>"871"</f>
        <v>871</v>
      </c>
      <c r="G7110">
        <v>1</v>
      </c>
      <c r="H7110">
        <v>2023</v>
      </c>
      <c r="I7110" t="s">
        <v>7225</v>
      </c>
    </row>
    <row r="7111" spans="1:9" x14ac:dyDescent="0.3">
      <c r="A7111" t="s">
        <v>10142</v>
      </c>
      <c r="B7111" t="s">
        <v>34</v>
      </c>
      <c r="C7111">
        <v>7648876604</v>
      </c>
      <c r="D7111" s="2">
        <v>1</v>
      </c>
      <c r="E7111" t="str">
        <f>"4574674200871135"</f>
        <v>4574674200871135</v>
      </c>
      <c r="F7111" t="str">
        <f>"712"</f>
        <v>712</v>
      </c>
      <c r="G7111">
        <v>1</v>
      </c>
      <c r="H7111">
        <v>2023</v>
      </c>
      <c r="I7111" t="s">
        <v>7226</v>
      </c>
    </row>
    <row r="7112" spans="1:9" x14ac:dyDescent="0.3">
      <c r="A7112" t="s">
        <v>10142</v>
      </c>
      <c r="B7112" t="s">
        <v>34</v>
      </c>
      <c r="C7112">
        <v>7648876604</v>
      </c>
      <c r="D7112" s="2">
        <v>1</v>
      </c>
      <c r="E7112" t="str">
        <f>"4574674200871184"</f>
        <v>4574674200871184</v>
      </c>
      <c r="F7112" t="str">
        <f>"079"</f>
        <v>079</v>
      </c>
      <c r="G7112">
        <v>1</v>
      </c>
      <c r="H7112">
        <v>2023</v>
      </c>
      <c r="I7112" t="s">
        <v>7227</v>
      </c>
    </row>
    <row r="7113" spans="1:9" x14ac:dyDescent="0.3">
      <c r="A7113" t="s">
        <v>10142</v>
      </c>
      <c r="B7113" t="s">
        <v>34</v>
      </c>
      <c r="C7113">
        <v>7648876604</v>
      </c>
      <c r="D7113" s="2">
        <v>1</v>
      </c>
      <c r="E7113" t="str">
        <f>"4574674200871218"</f>
        <v>4574674200871218</v>
      </c>
      <c r="F7113" t="str">
        <f>"783"</f>
        <v>783</v>
      </c>
      <c r="G7113">
        <v>1</v>
      </c>
      <c r="H7113">
        <v>2023</v>
      </c>
      <c r="I7113" t="s">
        <v>7228</v>
      </c>
    </row>
    <row r="7114" spans="1:9" x14ac:dyDescent="0.3">
      <c r="A7114" t="s">
        <v>10142</v>
      </c>
      <c r="B7114" t="s">
        <v>34</v>
      </c>
      <c r="C7114">
        <v>7648876604</v>
      </c>
      <c r="D7114" s="2">
        <v>1</v>
      </c>
      <c r="E7114" t="str">
        <f>"4574674200871457"</f>
        <v>4574674200871457</v>
      </c>
      <c r="F7114" t="str">
        <f>"877"</f>
        <v>877</v>
      </c>
      <c r="G7114">
        <v>1</v>
      </c>
      <c r="H7114">
        <v>2023</v>
      </c>
      <c r="I7114" t="s">
        <v>7229</v>
      </c>
    </row>
    <row r="7115" spans="1:9" x14ac:dyDescent="0.3">
      <c r="A7115" t="s">
        <v>10142</v>
      </c>
      <c r="B7115" t="s">
        <v>34</v>
      </c>
      <c r="C7115">
        <v>7648876604</v>
      </c>
      <c r="D7115" s="2">
        <v>1</v>
      </c>
      <c r="E7115" t="str">
        <f>"4574674200871259"</f>
        <v>4574674200871259</v>
      </c>
      <c r="F7115" t="str">
        <f>"966"</f>
        <v>966</v>
      </c>
      <c r="G7115">
        <v>1</v>
      </c>
      <c r="H7115">
        <v>2023</v>
      </c>
      <c r="I7115" t="s">
        <v>7230</v>
      </c>
    </row>
    <row r="7116" spans="1:9" x14ac:dyDescent="0.3">
      <c r="A7116" t="s">
        <v>10142</v>
      </c>
      <c r="B7116" t="s">
        <v>34</v>
      </c>
      <c r="C7116">
        <v>7648876604</v>
      </c>
      <c r="D7116" s="2">
        <v>1</v>
      </c>
      <c r="E7116" t="str">
        <f>"4574674200871416"</f>
        <v>4574674200871416</v>
      </c>
      <c r="F7116" t="str">
        <f>"637"</f>
        <v>637</v>
      </c>
      <c r="G7116">
        <v>1</v>
      </c>
      <c r="H7116">
        <v>2023</v>
      </c>
      <c r="I7116" t="s">
        <v>7231</v>
      </c>
    </row>
    <row r="7117" spans="1:9" x14ac:dyDescent="0.3">
      <c r="A7117" t="s">
        <v>10143</v>
      </c>
      <c r="B7117" t="s">
        <v>35</v>
      </c>
      <c r="C7117">
        <v>7648876604</v>
      </c>
      <c r="D7117" s="2">
        <v>1</v>
      </c>
      <c r="E7117" t="str">
        <f>"4574674200871242"</f>
        <v>4574674200871242</v>
      </c>
      <c r="F7117" t="str">
        <f>"410"</f>
        <v>410</v>
      </c>
      <c r="G7117">
        <v>1</v>
      </c>
      <c r="H7117">
        <v>2023</v>
      </c>
      <c r="I7117" t="s">
        <v>7232</v>
      </c>
    </row>
    <row r="7118" spans="1:9" x14ac:dyDescent="0.3">
      <c r="A7118" t="s">
        <v>10143</v>
      </c>
      <c r="B7118" t="s">
        <v>35</v>
      </c>
      <c r="C7118">
        <v>7648876604</v>
      </c>
      <c r="D7118" s="2">
        <v>1</v>
      </c>
      <c r="E7118" t="str">
        <f>"4574674200871549"</f>
        <v>4574674200871549</v>
      </c>
      <c r="F7118" t="str">
        <f>"303"</f>
        <v>303</v>
      </c>
      <c r="G7118">
        <v>1</v>
      </c>
      <c r="H7118">
        <v>2023</v>
      </c>
      <c r="I7118" t="s">
        <v>7233</v>
      </c>
    </row>
    <row r="7119" spans="1:9" x14ac:dyDescent="0.3">
      <c r="A7119" t="s">
        <v>10143</v>
      </c>
      <c r="B7119" t="s">
        <v>35</v>
      </c>
      <c r="C7119">
        <v>7648876604</v>
      </c>
      <c r="D7119" s="2">
        <v>1</v>
      </c>
      <c r="E7119" t="str">
        <f>"4574674200871598"</f>
        <v>4574674200871598</v>
      </c>
      <c r="F7119" t="str">
        <f>"395"</f>
        <v>395</v>
      </c>
      <c r="G7119">
        <v>1</v>
      </c>
      <c r="H7119">
        <v>2023</v>
      </c>
      <c r="I7119" t="s">
        <v>7234</v>
      </c>
    </row>
    <row r="7120" spans="1:9" x14ac:dyDescent="0.3">
      <c r="A7120" t="s">
        <v>10143</v>
      </c>
      <c r="B7120" t="s">
        <v>35</v>
      </c>
      <c r="C7120">
        <v>7648876604</v>
      </c>
      <c r="D7120" s="2">
        <v>1</v>
      </c>
      <c r="E7120" t="str">
        <f>"4574674200871358"</f>
        <v>4574674200871358</v>
      </c>
      <c r="F7120" t="str">
        <f>"553"</f>
        <v>553</v>
      </c>
      <c r="G7120">
        <v>1</v>
      </c>
      <c r="H7120">
        <v>2023</v>
      </c>
      <c r="I7120" t="s">
        <v>7235</v>
      </c>
    </row>
    <row r="7121" spans="1:9" x14ac:dyDescent="0.3">
      <c r="A7121" t="s">
        <v>10143</v>
      </c>
      <c r="B7121" t="s">
        <v>35</v>
      </c>
      <c r="C7121">
        <v>7648876604</v>
      </c>
      <c r="D7121" s="2">
        <v>1</v>
      </c>
      <c r="E7121" t="str">
        <f>"4574674200871622"</f>
        <v>4574674200871622</v>
      </c>
      <c r="F7121" t="str">
        <f>"347"</f>
        <v>347</v>
      </c>
      <c r="G7121">
        <v>1</v>
      </c>
      <c r="H7121">
        <v>2023</v>
      </c>
      <c r="I7121" t="s">
        <v>7236</v>
      </c>
    </row>
    <row r="7122" spans="1:9" x14ac:dyDescent="0.3">
      <c r="A7122" t="s">
        <v>10143</v>
      </c>
      <c r="B7122" t="s">
        <v>35</v>
      </c>
      <c r="C7122">
        <v>7648876604</v>
      </c>
      <c r="D7122" s="2">
        <v>1</v>
      </c>
      <c r="E7122" t="str">
        <f>"4574674200871374"</f>
        <v>4574674200871374</v>
      </c>
      <c r="F7122" t="str">
        <f>"827"</f>
        <v>827</v>
      </c>
      <c r="G7122">
        <v>1</v>
      </c>
      <c r="H7122">
        <v>2023</v>
      </c>
      <c r="I7122" t="s">
        <v>7237</v>
      </c>
    </row>
    <row r="7123" spans="1:9" x14ac:dyDescent="0.3">
      <c r="A7123" t="s">
        <v>10143</v>
      </c>
      <c r="B7123" t="s">
        <v>35</v>
      </c>
      <c r="C7123">
        <v>7648876604</v>
      </c>
      <c r="D7123" s="2">
        <v>1</v>
      </c>
      <c r="E7123" t="str">
        <f>"4574674200871366"</f>
        <v>4574674200871366</v>
      </c>
      <c r="F7123" t="str">
        <f>"775"</f>
        <v>775</v>
      </c>
      <c r="G7123">
        <v>1</v>
      </c>
      <c r="H7123">
        <v>2023</v>
      </c>
      <c r="I7123" t="s">
        <v>7238</v>
      </c>
    </row>
    <row r="7124" spans="1:9" x14ac:dyDescent="0.3">
      <c r="A7124" t="s">
        <v>10143</v>
      </c>
      <c r="B7124" t="s">
        <v>35</v>
      </c>
      <c r="C7124">
        <v>7648876604</v>
      </c>
      <c r="D7124" s="2">
        <v>1</v>
      </c>
      <c r="E7124" t="str">
        <f>"4574674200871713"</f>
        <v>4574674200871713</v>
      </c>
      <c r="F7124" t="str">
        <f>"375"</f>
        <v>375</v>
      </c>
      <c r="G7124">
        <v>1</v>
      </c>
      <c r="H7124">
        <v>2023</v>
      </c>
      <c r="I7124" t="s">
        <v>7239</v>
      </c>
    </row>
    <row r="7125" spans="1:9" x14ac:dyDescent="0.3">
      <c r="A7125" t="s">
        <v>10143</v>
      </c>
      <c r="B7125" t="s">
        <v>35</v>
      </c>
      <c r="C7125">
        <v>7648876604</v>
      </c>
      <c r="D7125" s="2">
        <v>1</v>
      </c>
      <c r="E7125" t="str">
        <f>"4574674200871754"</f>
        <v>4574674200871754</v>
      </c>
      <c r="F7125" t="str">
        <f>"408"</f>
        <v>408</v>
      </c>
      <c r="G7125">
        <v>1</v>
      </c>
      <c r="H7125">
        <v>2023</v>
      </c>
      <c r="I7125" t="s">
        <v>7240</v>
      </c>
    </row>
    <row r="7126" spans="1:9" x14ac:dyDescent="0.3">
      <c r="A7126" t="s">
        <v>10143</v>
      </c>
      <c r="B7126" t="s">
        <v>35</v>
      </c>
      <c r="C7126">
        <v>7648876604</v>
      </c>
      <c r="D7126" s="2">
        <v>1</v>
      </c>
      <c r="E7126" t="str">
        <f>"4574674200871770"</f>
        <v>4574674200871770</v>
      </c>
      <c r="F7126" t="str">
        <f>"314"</f>
        <v>314</v>
      </c>
      <c r="G7126">
        <v>1</v>
      </c>
      <c r="H7126">
        <v>2023</v>
      </c>
      <c r="I7126" t="s">
        <v>7241</v>
      </c>
    </row>
    <row r="7127" spans="1:9" x14ac:dyDescent="0.3">
      <c r="A7127" t="s">
        <v>10144</v>
      </c>
      <c r="B7127" t="s">
        <v>36</v>
      </c>
      <c r="C7127">
        <v>7648876604</v>
      </c>
      <c r="D7127" s="2">
        <v>1</v>
      </c>
      <c r="E7127" t="str">
        <f>"4574674200871762"</f>
        <v>4574674200871762</v>
      </c>
      <c r="F7127" t="str">
        <f>"774"</f>
        <v>774</v>
      </c>
      <c r="G7127">
        <v>1</v>
      </c>
      <c r="H7127">
        <v>2023</v>
      </c>
      <c r="I7127" t="s">
        <v>7242</v>
      </c>
    </row>
    <row r="7128" spans="1:9" x14ac:dyDescent="0.3">
      <c r="A7128" t="s">
        <v>10144</v>
      </c>
      <c r="B7128" t="s">
        <v>36</v>
      </c>
      <c r="C7128">
        <v>7648876604</v>
      </c>
      <c r="D7128" s="2">
        <v>1</v>
      </c>
      <c r="E7128" t="str">
        <f>"4574674200872083"</f>
        <v>4574674200872083</v>
      </c>
      <c r="F7128" t="str">
        <f>"318"</f>
        <v>318</v>
      </c>
      <c r="G7128">
        <v>1</v>
      </c>
      <c r="H7128">
        <v>2023</v>
      </c>
      <c r="I7128" t="s">
        <v>7243</v>
      </c>
    </row>
    <row r="7129" spans="1:9" x14ac:dyDescent="0.3">
      <c r="A7129" t="s">
        <v>10144</v>
      </c>
      <c r="B7129" t="s">
        <v>36</v>
      </c>
      <c r="C7129">
        <v>7648876604</v>
      </c>
      <c r="D7129" s="2">
        <v>1</v>
      </c>
      <c r="E7129" t="str">
        <f>"4574674200871887"</f>
        <v>4574674200871887</v>
      </c>
      <c r="F7129" t="str">
        <f>"560"</f>
        <v>560</v>
      </c>
      <c r="G7129">
        <v>1</v>
      </c>
      <c r="H7129">
        <v>2023</v>
      </c>
      <c r="I7129" t="s">
        <v>7244</v>
      </c>
    </row>
    <row r="7130" spans="1:9" x14ac:dyDescent="0.3">
      <c r="A7130" t="s">
        <v>10144</v>
      </c>
      <c r="B7130" t="s">
        <v>36</v>
      </c>
      <c r="C7130">
        <v>7648876604</v>
      </c>
      <c r="D7130" s="2">
        <v>1</v>
      </c>
      <c r="E7130" t="str">
        <f>"4574674200871879"</f>
        <v>4574674200871879</v>
      </c>
      <c r="F7130" t="str">
        <f>"130"</f>
        <v>130</v>
      </c>
      <c r="G7130">
        <v>1</v>
      </c>
      <c r="H7130">
        <v>2023</v>
      </c>
      <c r="I7130" t="s">
        <v>7245</v>
      </c>
    </row>
    <row r="7131" spans="1:9" x14ac:dyDescent="0.3">
      <c r="A7131" t="s">
        <v>10144</v>
      </c>
      <c r="B7131" t="s">
        <v>36</v>
      </c>
      <c r="C7131">
        <v>7648876604</v>
      </c>
      <c r="D7131" s="2">
        <v>1</v>
      </c>
      <c r="E7131" t="str">
        <f>"4574674200872109"</f>
        <v>4574674200872109</v>
      </c>
      <c r="F7131" t="str">
        <f>"970"</f>
        <v>970</v>
      </c>
      <c r="G7131">
        <v>1</v>
      </c>
      <c r="H7131">
        <v>2023</v>
      </c>
      <c r="I7131" t="s">
        <v>7246</v>
      </c>
    </row>
    <row r="7132" spans="1:9" x14ac:dyDescent="0.3">
      <c r="A7132" t="s">
        <v>10144</v>
      </c>
      <c r="B7132" t="s">
        <v>36</v>
      </c>
      <c r="C7132">
        <v>7648876604</v>
      </c>
      <c r="D7132" s="2">
        <v>1</v>
      </c>
      <c r="E7132" t="str">
        <f>"4574674200871895"</f>
        <v>4574674200871895</v>
      </c>
      <c r="F7132" t="str">
        <f>"659"</f>
        <v>659</v>
      </c>
      <c r="G7132">
        <v>1</v>
      </c>
      <c r="H7132">
        <v>2023</v>
      </c>
      <c r="I7132" t="s">
        <v>7247</v>
      </c>
    </row>
    <row r="7133" spans="1:9" x14ac:dyDescent="0.3">
      <c r="A7133" t="s">
        <v>10144</v>
      </c>
      <c r="B7133" t="s">
        <v>36</v>
      </c>
      <c r="C7133">
        <v>7648876604</v>
      </c>
      <c r="D7133" s="2">
        <v>1</v>
      </c>
      <c r="E7133" t="str">
        <f>"4574674200872133"</f>
        <v>4574674200872133</v>
      </c>
      <c r="F7133" t="str">
        <f>"250"</f>
        <v>250</v>
      </c>
      <c r="G7133">
        <v>1</v>
      </c>
      <c r="H7133">
        <v>2023</v>
      </c>
      <c r="I7133" t="s">
        <v>7248</v>
      </c>
    </row>
    <row r="7134" spans="1:9" x14ac:dyDescent="0.3">
      <c r="A7134" t="s">
        <v>10144</v>
      </c>
      <c r="B7134" t="s">
        <v>36</v>
      </c>
      <c r="C7134">
        <v>7648876604</v>
      </c>
      <c r="D7134" s="2">
        <v>1</v>
      </c>
      <c r="E7134" t="str">
        <f>"4574674200872166"</f>
        <v>4574674200872166</v>
      </c>
      <c r="F7134" t="str">
        <f>"960"</f>
        <v>960</v>
      </c>
      <c r="G7134">
        <v>1</v>
      </c>
      <c r="H7134">
        <v>2023</v>
      </c>
      <c r="I7134" t="s">
        <v>7249</v>
      </c>
    </row>
    <row r="7135" spans="1:9" x14ac:dyDescent="0.3">
      <c r="A7135" t="s">
        <v>10144</v>
      </c>
      <c r="B7135" t="s">
        <v>36</v>
      </c>
      <c r="C7135">
        <v>7648876604</v>
      </c>
      <c r="D7135" s="2">
        <v>1</v>
      </c>
      <c r="E7135" t="str">
        <f>"4574674200872232"</f>
        <v>4574674200872232</v>
      </c>
      <c r="F7135" t="str">
        <f>"289"</f>
        <v>289</v>
      </c>
      <c r="G7135">
        <v>1</v>
      </c>
      <c r="H7135">
        <v>2023</v>
      </c>
      <c r="I7135" t="s">
        <v>7250</v>
      </c>
    </row>
    <row r="7136" spans="1:9" x14ac:dyDescent="0.3">
      <c r="A7136" t="s">
        <v>10144</v>
      </c>
      <c r="B7136" t="s">
        <v>36</v>
      </c>
      <c r="C7136">
        <v>7648876604</v>
      </c>
      <c r="D7136" s="2">
        <v>1</v>
      </c>
      <c r="E7136" t="str">
        <f>"4574674200872273"</f>
        <v>4574674200872273</v>
      </c>
      <c r="F7136" t="str">
        <f>"118"</f>
        <v>118</v>
      </c>
      <c r="G7136">
        <v>1</v>
      </c>
      <c r="H7136">
        <v>2023</v>
      </c>
      <c r="I7136" t="s">
        <v>7251</v>
      </c>
    </row>
    <row r="7137" spans="1:9" x14ac:dyDescent="0.3">
      <c r="A7137" t="s">
        <v>10145</v>
      </c>
      <c r="B7137" t="s">
        <v>37</v>
      </c>
      <c r="C7137">
        <v>7648876604</v>
      </c>
      <c r="D7137" s="2">
        <v>1</v>
      </c>
      <c r="E7137" t="str">
        <f>"4574674200872307"</f>
        <v>4574674200872307</v>
      </c>
      <c r="F7137" t="str">
        <f>"227"</f>
        <v>227</v>
      </c>
      <c r="G7137">
        <v>1</v>
      </c>
      <c r="H7137">
        <v>2023</v>
      </c>
      <c r="I7137" t="s">
        <v>7252</v>
      </c>
    </row>
    <row r="7138" spans="1:9" x14ac:dyDescent="0.3">
      <c r="A7138" t="s">
        <v>10145</v>
      </c>
      <c r="B7138" t="s">
        <v>37</v>
      </c>
      <c r="C7138">
        <v>7648876604</v>
      </c>
      <c r="D7138" s="2">
        <v>1</v>
      </c>
      <c r="E7138" t="str">
        <f>"4574674200872356"</f>
        <v>4574674200872356</v>
      </c>
      <c r="F7138" t="str">
        <f>"882"</f>
        <v>882</v>
      </c>
      <c r="G7138">
        <v>1</v>
      </c>
      <c r="H7138">
        <v>2023</v>
      </c>
      <c r="I7138" t="s">
        <v>7253</v>
      </c>
    </row>
    <row r="7139" spans="1:9" x14ac:dyDescent="0.3">
      <c r="A7139" t="s">
        <v>10145</v>
      </c>
      <c r="B7139" t="s">
        <v>37</v>
      </c>
      <c r="C7139">
        <v>7648876604</v>
      </c>
      <c r="D7139" s="2">
        <v>1</v>
      </c>
      <c r="E7139" t="str">
        <f>"4574674200871986"</f>
        <v>4574674200871986</v>
      </c>
      <c r="F7139" t="str">
        <f>"379"</f>
        <v>379</v>
      </c>
      <c r="G7139">
        <v>1</v>
      </c>
      <c r="H7139">
        <v>2023</v>
      </c>
      <c r="I7139" t="s">
        <v>7254</v>
      </c>
    </row>
    <row r="7140" spans="1:9" x14ac:dyDescent="0.3">
      <c r="A7140" t="s">
        <v>10145</v>
      </c>
      <c r="B7140" t="s">
        <v>37</v>
      </c>
      <c r="C7140">
        <v>7648876604</v>
      </c>
      <c r="D7140" s="2">
        <v>1</v>
      </c>
      <c r="E7140" t="str">
        <f>"4574674200872406"</f>
        <v>4574674200872406</v>
      </c>
      <c r="F7140" t="str">
        <f>"289"</f>
        <v>289</v>
      </c>
      <c r="G7140">
        <v>1</v>
      </c>
      <c r="H7140">
        <v>2023</v>
      </c>
      <c r="I7140" t="s">
        <v>7255</v>
      </c>
    </row>
    <row r="7141" spans="1:9" x14ac:dyDescent="0.3">
      <c r="A7141" t="s">
        <v>10145</v>
      </c>
      <c r="B7141" t="s">
        <v>37</v>
      </c>
      <c r="C7141">
        <v>7648876604</v>
      </c>
      <c r="D7141" s="2">
        <v>1</v>
      </c>
      <c r="E7141" t="str">
        <f>"4574674200872422"</f>
        <v>4574674200872422</v>
      </c>
      <c r="F7141" t="str">
        <f>"006"</f>
        <v>006</v>
      </c>
      <c r="G7141">
        <v>1</v>
      </c>
      <c r="H7141">
        <v>2023</v>
      </c>
      <c r="I7141" t="s">
        <v>7256</v>
      </c>
    </row>
    <row r="7142" spans="1:9" x14ac:dyDescent="0.3">
      <c r="A7142" t="s">
        <v>10145</v>
      </c>
      <c r="B7142" t="s">
        <v>37</v>
      </c>
      <c r="C7142">
        <v>7648876604</v>
      </c>
      <c r="D7142" s="2">
        <v>1</v>
      </c>
      <c r="E7142" t="str">
        <f>"4574674200872604"</f>
        <v>4574674200872604</v>
      </c>
      <c r="F7142" t="str">
        <f>"203"</f>
        <v>203</v>
      </c>
      <c r="G7142">
        <v>1</v>
      </c>
      <c r="H7142">
        <v>2023</v>
      </c>
      <c r="I7142" t="s">
        <v>7257</v>
      </c>
    </row>
    <row r="7143" spans="1:9" x14ac:dyDescent="0.3">
      <c r="A7143" t="s">
        <v>10145</v>
      </c>
      <c r="B7143" t="s">
        <v>37</v>
      </c>
      <c r="C7143">
        <v>7648876604</v>
      </c>
      <c r="D7143" s="2">
        <v>1</v>
      </c>
      <c r="E7143" t="str">
        <f>"4574674200872638"</f>
        <v>4574674200872638</v>
      </c>
      <c r="F7143" t="str">
        <f>"382"</f>
        <v>382</v>
      </c>
      <c r="G7143">
        <v>1</v>
      </c>
      <c r="H7143">
        <v>2023</v>
      </c>
      <c r="I7143" t="s">
        <v>7258</v>
      </c>
    </row>
    <row r="7144" spans="1:9" x14ac:dyDescent="0.3">
      <c r="A7144" t="s">
        <v>10145</v>
      </c>
      <c r="B7144" t="s">
        <v>37</v>
      </c>
      <c r="C7144">
        <v>7648876604</v>
      </c>
      <c r="D7144" s="2">
        <v>1</v>
      </c>
      <c r="E7144" t="str">
        <f>"4574674200872653"</f>
        <v>4574674200872653</v>
      </c>
      <c r="F7144" t="str">
        <f>"532"</f>
        <v>532</v>
      </c>
      <c r="G7144">
        <v>1</v>
      </c>
      <c r="H7144">
        <v>2023</v>
      </c>
      <c r="I7144" t="s">
        <v>7259</v>
      </c>
    </row>
    <row r="7145" spans="1:9" x14ac:dyDescent="0.3">
      <c r="A7145" t="s">
        <v>10145</v>
      </c>
      <c r="B7145" t="s">
        <v>37</v>
      </c>
      <c r="C7145">
        <v>7648876604</v>
      </c>
      <c r="D7145" s="2">
        <v>1</v>
      </c>
      <c r="E7145" t="str">
        <f>"4574674200872679"</f>
        <v>4574674200872679</v>
      </c>
      <c r="F7145" t="str">
        <f>"521"</f>
        <v>521</v>
      </c>
      <c r="G7145">
        <v>1</v>
      </c>
      <c r="H7145">
        <v>2023</v>
      </c>
      <c r="I7145" t="s">
        <v>7260</v>
      </c>
    </row>
    <row r="7146" spans="1:9" x14ac:dyDescent="0.3">
      <c r="A7146" t="s">
        <v>10145</v>
      </c>
      <c r="B7146" t="s">
        <v>37</v>
      </c>
      <c r="C7146">
        <v>7648876604</v>
      </c>
      <c r="D7146" s="2">
        <v>1</v>
      </c>
      <c r="E7146" t="str">
        <f>"4574674200872752"</f>
        <v>4574674200872752</v>
      </c>
      <c r="F7146" t="str">
        <f>"007"</f>
        <v>007</v>
      </c>
      <c r="G7146">
        <v>1</v>
      </c>
      <c r="H7146">
        <v>2023</v>
      </c>
      <c r="I7146" t="s">
        <v>7261</v>
      </c>
    </row>
    <row r="7147" spans="1:9" x14ac:dyDescent="0.3">
      <c r="A7147" t="s">
        <v>10146</v>
      </c>
      <c r="B7147" t="s">
        <v>38</v>
      </c>
      <c r="C7147">
        <v>7648876604</v>
      </c>
      <c r="D7147" s="2">
        <v>1</v>
      </c>
      <c r="E7147" t="str">
        <f>"4574674200872513"</f>
        <v>4574674200872513</v>
      </c>
      <c r="F7147" t="str">
        <f>"371"</f>
        <v>371</v>
      </c>
      <c r="G7147">
        <v>1</v>
      </c>
      <c r="H7147">
        <v>2023</v>
      </c>
      <c r="I7147" t="s">
        <v>7262</v>
      </c>
    </row>
    <row r="7148" spans="1:9" x14ac:dyDescent="0.3">
      <c r="A7148" t="s">
        <v>10146</v>
      </c>
      <c r="B7148" t="s">
        <v>38</v>
      </c>
      <c r="C7148">
        <v>7648876604</v>
      </c>
      <c r="D7148" s="2">
        <v>1</v>
      </c>
      <c r="E7148" t="str">
        <f>"4574674200872802"</f>
        <v>4574674200872802</v>
      </c>
      <c r="F7148" t="str">
        <f>"252"</f>
        <v>252</v>
      </c>
      <c r="G7148">
        <v>1</v>
      </c>
      <c r="H7148">
        <v>2023</v>
      </c>
      <c r="I7148" t="s">
        <v>7263</v>
      </c>
    </row>
    <row r="7149" spans="1:9" x14ac:dyDescent="0.3">
      <c r="A7149" t="s">
        <v>10146</v>
      </c>
      <c r="B7149" t="s">
        <v>38</v>
      </c>
      <c r="C7149">
        <v>7648876604</v>
      </c>
      <c r="D7149" s="2">
        <v>1</v>
      </c>
      <c r="E7149" t="str">
        <f>"4574674200872547"</f>
        <v>4574674200872547</v>
      </c>
      <c r="F7149" t="str">
        <f>"250"</f>
        <v>250</v>
      </c>
      <c r="G7149">
        <v>1</v>
      </c>
      <c r="H7149">
        <v>2023</v>
      </c>
      <c r="I7149" t="s">
        <v>7264</v>
      </c>
    </row>
    <row r="7150" spans="1:9" x14ac:dyDescent="0.3">
      <c r="A7150" t="s">
        <v>10146</v>
      </c>
      <c r="B7150" t="s">
        <v>38</v>
      </c>
      <c r="C7150">
        <v>7648876604</v>
      </c>
      <c r="D7150" s="2">
        <v>1</v>
      </c>
      <c r="E7150" t="str">
        <f>"4574674200872539"</f>
        <v>4574674200872539</v>
      </c>
      <c r="F7150" t="str">
        <f>"277"</f>
        <v>277</v>
      </c>
      <c r="G7150">
        <v>1</v>
      </c>
      <c r="H7150">
        <v>2023</v>
      </c>
      <c r="I7150" t="s">
        <v>7265</v>
      </c>
    </row>
    <row r="7151" spans="1:9" x14ac:dyDescent="0.3">
      <c r="A7151" t="s">
        <v>10146</v>
      </c>
      <c r="B7151" t="s">
        <v>38</v>
      </c>
      <c r="C7151">
        <v>7648876604</v>
      </c>
      <c r="D7151" s="2">
        <v>1</v>
      </c>
      <c r="E7151" t="str">
        <f>"4574674200872828"</f>
        <v>4574674200872828</v>
      </c>
      <c r="F7151" t="str">
        <f>"764"</f>
        <v>764</v>
      </c>
      <c r="G7151">
        <v>1</v>
      </c>
      <c r="H7151">
        <v>2023</v>
      </c>
      <c r="I7151" t="s">
        <v>7266</v>
      </c>
    </row>
    <row r="7152" spans="1:9" x14ac:dyDescent="0.3">
      <c r="A7152" t="s">
        <v>10146</v>
      </c>
      <c r="B7152" t="s">
        <v>38</v>
      </c>
      <c r="C7152">
        <v>7648876604</v>
      </c>
      <c r="D7152" s="2">
        <v>1</v>
      </c>
      <c r="E7152" t="str">
        <f>"4574674200872877"</f>
        <v>4574674200872877</v>
      </c>
      <c r="F7152" t="str">
        <f>"400"</f>
        <v>400</v>
      </c>
      <c r="G7152">
        <v>1</v>
      </c>
      <c r="H7152">
        <v>2023</v>
      </c>
      <c r="I7152" t="s">
        <v>7267</v>
      </c>
    </row>
    <row r="7153" spans="1:9" x14ac:dyDescent="0.3">
      <c r="A7153" t="s">
        <v>10146</v>
      </c>
      <c r="B7153" t="s">
        <v>38</v>
      </c>
      <c r="C7153">
        <v>7648876604</v>
      </c>
      <c r="D7153" s="2">
        <v>1</v>
      </c>
      <c r="E7153" t="str">
        <f>"4574674200872950"</f>
        <v>4574674200872950</v>
      </c>
      <c r="F7153" t="str">
        <f>"432"</f>
        <v>432</v>
      </c>
      <c r="G7153">
        <v>1</v>
      </c>
      <c r="H7153">
        <v>2023</v>
      </c>
      <c r="I7153" t="s">
        <v>7268</v>
      </c>
    </row>
    <row r="7154" spans="1:9" x14ac:dyDescent="0.3">
      <c r="A7154" t="s">
        <v>10146</v>
      </c>
      <c r="B7154" t="s">
        <v>38</v>
      </c>
      <c r="C7154">
        <v>7648876604</v>
      </c>
      <c r="D7154" s="2">
        <v>1</v>
      </c>
      <c r="E7154" t="str">
        <f>"4574674200872984"</f>
        <v>4574674200872984</v>
      </c>
      <c r="F7154" t="str">
        <f>"438"</f>
        <v>438</v>
      </c>
      <c r="G7154">
        <v>1</v>
      </c>
      <c r="H7154">
        <v>2023</v>
      </c>
      <c r="I7154" t="s">
        <v>7269</v>
      </c>
    </row>
    <row r="7155" spans="1:9" x14ac:dyDescent="0.3">
      <c r="A7155" t="s">
        <v>10146</v>
      </c>
      <c r="B7155" t="s">
        <v>38</v>
      </c>
      <c r="C7155">
        <v>7648876604</v>
      </c>
      <c r="D7155" s="2">
        <v>1</v>
      </c>
      <c r="E7155" t="str">
        <f>"4574674200872976"</f>
        <v>4574674200872976</v>
      </c>
      <c r="F7155" t="str">
        <f>"180"</f>
        <v>180</v>
      </c>
      <c r="G7155">
        <v>1</v>
      </c>
      <c r="H7155">
        <v>2023</v>
      </c>
      <c r="I7155" t="s">
        <v>7270</v>
      </c>
    </row>
    <row r="7156" spans="1:9" x14ac:dyDescent="0.3">
      <c r="A7156" t="s">
        <v>10146</v>
      </c>
      <c r="B7156" t="s">
        <v>38</v>
      </c>
      <c r="C7156">
        <v>7648876604</v>
      </c>
      <c r="D7156" s="2">
        <v>1</v>
      </c>
      <c r="E7156" t="str">
        <f>"4574674200873040"</f>
        <v>4574674200873040</v>
      </c>
      <c r="F7156" t="str">
        <f>"269"</f>
        <v>269</v>
      </c>
      <c r="G7156">
        <v>1</v>
      </c>
      <c r="H7156">
        <v>2023</v>
      </c>
      <c r="I7156" t="s">
        <v>7271</v>
      </c>
    </row>
    <row r="7157" spans="1:9" x14ac:dyDescent="0.3">
      <c r="A7157" t="s">
        <v>10147</v>
      </c>
      <c r="B7157" t="s">
        <v>39</v>
      </c>
      <c r="C7157">
        <v>7648876604</v>
      </c>
      <c r="D7157" s="2">
        <v>1</v>
      </c>
      <c r="E7157" t="str">
        <f>"4574674200873032"</f>
        <v>4574674200873032</v>
      </c>
      <c r="F7157" t="str">
        <f>"019"</f>
        <v>019</v>
      </c>
      <c r="G7157">
        <v>1</v>
      </c>
      <c r="H7157">
        <v>2023</v>
      </c>
      <c r="I7157" t="s">
        <v>7272</v>
      </c>
    </row>
    <row r="7158" spans="1:9" x14ac:dyDescent="0.3">
      <c r="A7158" t="s">
        <v>10147</v>
      </c>
      <c r="B7158" t="s">
        <v>39</v>
      </c>
      <c r="C7158">
        <v>7648876604</v>
      </c>
      <c r="D7158" s="2">
        <v>1</v>
      </c>
      <c r="E7158" t="str">
        <f>"4574674200873230"</f>
        <v>4574674200873230</v>
      </c>
      <c r="F7158" t="str">
        <f>"278"</f>
        <v>278</v>
      </c>
      <c r="G7158">
        <v>1</v>
      </c>
      <c r="H7158">
        <v>2023</v>
      </c>
      <c r="I7158" t="s">
        <v>7273</v>
      </c>
    </row>
    <row r="7159" spans="1:9" x14ac:dyDescent="0.3">
      <c r="A7159" t="s">
        <v>10147</v>
      </c>
      <c r="B7159" t="s">
        <v>39</v>
      </c>
      <c r="C7159">
        <v>7648876604</v>
      </c>
      <c r="D7159" s="2">
        <v>1</v>
      </c>
      <c r="E7159" t="str">
        <f>"4574674200873065"</f>
        <v>4574674200873065</v>
      </c>
      <c r="F7159" t="str">
        <f>"295"</f>
        <v>295</v>
      </c>
      <c r="G7159">
        <v>1</v>
      </c>
      <c r="H7159">
        <v>2023</v>
      </c>
      <c r="I7159" t="s">
        <v>7274</v>
      </c>
    </row>
    <row r="7160" spans="1:9" x14ac:dyDescent="0.3">
      <c r="A7160" t="s">
        <v>10147</v>
      </c>
      <c r="B7160" t="s">
        <v>39</v>
      </c>
      <c r="C7160">
        <v>7648876604</v>
      </c>
      <c r="D7160" s="2">
        <v>1</v>
      </c>
      <c r="E7160" t="str">
        <f>"4574674200873313"</f>
        <v>4574674200873313</v>
      </c>
      <c r="F7160" t="str">
        <f>"905"</f>
        <v>905</v>
      </c>
      <c r="G7160">
        <v>1</v>
      </c>
      <c r="H7160">
        <v>2023</v>
      </c>
      <c r="I7160" t="s">
        <v>7275</v>
      </c>
    </row>
    <row r="7161" spans="1:9" x14ac:dyDescent="0.3">
      <c r="A7161" t="s">
        <v>10147</v>
      </c>
      <c r="B7161" t="s">
        <v>39</v>
      </c>
      <c r="C7161">
        <v>7648876604</v>
      </c>
      <c r="D7161" s="2">
        <v>1</v>
      </c>
      <c r="E7161" t="str">
        <f>"4574674200873347"</f>
        <v>4574674200873347</v>
      </c>
      <c r="F7161" t="str">
        <f>"850"</f>
        <v>850</v>
      </c>
      <c r="G7161">
        <v>1</v>
      </c>
      <c r="H7161">
        <v>2023</v>
      </c>
      <c r="I7161" t="s">
        <v>7276</v>
      </c>
    </row>
    <row r="7162" spans="1:9" x14ac:dyDescent="0.3">
      <c r="A7162" t="s">
        <v>10147</v>
      </c>
      <c r="B7162" t="s">
        <v>39</v>
      </c>
      <c r="C7162">
        <v>7648876604</v>
      </c>
      <c r="D7162" s="2">
        <v>1</v>
      </c>
      <c r="E7162" t="str">
        <f>"4574674200873339"</f>
        <v>4574674200873339</v>
      </c>
      <c r="F7162" t="str">
        <f>"438"</f>
        <v>438</v>
      </c>
      <c r="G7162">
        <v>1</v>
      </c>
      <c r="H7162">
        <v>2023</v>
      </c>
      <c r="I7162" t="s">
        <v>7277</v>
      </c>
    </row>
    <row r="7163" spans="1:9" x14ac:dyDescent="0.3">
      <c r="A7163" t="s">
        <v>10147</v>
      </c>
      <c r="B7163" t="s">
        <v>39</v>
      </c>
      <c r="C7163">
        <v>7648876604</v>
      </c>
      <c r="D7163" s="2">
        <v>1</v>
      </c>
      <c r="E7163" t="str">
        <f>"4574674200873396"</f>
        <v>4574674200873396</v>
      </c>
      <c r="F7163" t="str">
        <f>"282"</f>
        <v>282</v>
      </c>
      <c r="G7163">
        <v>1</v>
      </c>
      <c r="H7163">
        <v>2023</v>
      </c>
      <c r="I7163" t="s">
        <v>7278</v>
      </c>
    </row>
    <row r="7164" spans="1:9" x14ac:dyDescent="0.3">
      <c r="A7164" t="s">
        <v>10147</v>
      </c>
      <c r="B7164" t="s">
        <v>39</v>
      </c>
      <c r="C7164">
        <v>7648876604</v>
      </c>
      <c r="D7164" s="2">
        <v>1</v>
      </c>
      <c r="E7164" t="str">
        <f>"4574674200873172"</f>
        <v>4574674200873172</v>
      </c>
      <c r="F7164" t="str">
        <f>"321"</f>
        <v>321</v>
      </c>
      <c r="G7164">
        <v>1</v>
      </c>
      <c r="H7164">
        <v>2023</v>
      </c>
      <c r="I7164" t="s">
        <v>7279</v>
      </c>
    </row>
    <row r="7165" spans="1:9" x14ac:dyDescent="0.3">
      <c r="A7165" t="s">
        <v>10147</v>
      </c>
      <c r="B7165" t="s">
        <v>39</v>
      </c>
      <c r="C7165">
        <v>7648876604</v>
      </c>
      <c r="D7165" s="2">
        <v>1</v>
      </c>
      <c r="E7165" t="str">
        <f>"4574674200873164"</f>
        <v>4574674200873164</v>
      </c>
      <c r="F7165" t="str">
        <f>"047"</f>
        <v>047</v>
      </c>
      <c r="G7165">
        <v>1</v>
      </c>
      <c r="H7165">
        <v>2023</v>
      </c>
      <c r="I7165" t="s">
        <v>7280</v>
      </c>
    </row>
    <row r="7166" spans="1:9" x14ac:dyDescent="0.3">
      <c r="A7166" t="s">
        <v>10147</v>
      </c>
      <c r="B7166" t="s">
        <v>39</v>
      </c>
      <c r="C7166">
        <v>7648876604</v>
      </c>
      <c r="D7166" s="2">
        <v>1</v>
      </c>
      <c r="E7166" t="str">
        <f>"4574674200873180"</f>
        <v>4574674200873180</v>
      </c>
      <c r="F7166" t="str">
        <f>"883"</f>
        <v>883</v>
      </c>
      <c r="G7166">
        <v>1</v>
      </c>
      <c r="H7166">
        <v>2023</v>
      </c>
      <c r="I7166" t="s">
        <v>7281</v>
      </c>
    </row>
    <row r="7167" spans="1:9" x14ac:dyDescent="0.3">
      <c r="A7167" t="s">
        <v>10148</v>
      </c>
      <c r="B7167" t="s">
        <v>40</v>
      </c>
      <c r="C7167">
        <v>7648876604</v>
      </c>
      <c r="D7167" s="2">
        <v>1</v>
      </c>
      <c r="E7167" t="str">
        <f>"4574674200873461"</f>
        <v>4574674200873461</v>
      </c>
      <c r="F7167" t="str">
        <f>"747"</f>
        <v>747</v>
      </c>
      <c r="G7167">
        <v>1</v>
      </c>
      <c r="H7167">
        <v>2023</v>
      </c>
      <c r="I7167" t="s">
        <v>7282</v>
      </c>
    </row>
    <row r="7168" spans="1:9" x14ac:dyDescent="0.3">
      <c r="A7168" t="s">
        <v>10148</v>
      </c>
      <c r="B7168" t="s">
        <v>40</v>
      </c>
      <c r="C7168">
        <v>7648876604</v>
      </c>
      <c r="D7168" s="2">
        <v>1</v>
      </c>
      <c r="E7168" t="str">
        <f>"4574674200873487"</f>
        <v>4574674200873487</v>
      </c>
      <c r="F7168" t="str">
        <f>"351"</f>
        <v>351</v>
      </c>
      <c r="G7168">
        <v>1</v>
      </c>
      <c r="H7168">
        <v>2023</v>
      </c>
      <c r="I7168" t="s">
        <v>7283</v>
      </c>
    </row>
    <row r="7169" spans="1:9" x14ac:dyDescent="0.3">
      <c r="A7169" t="s">
        <v>10148</v>
      </c>
      <c r="B7169" t="s">
        <v>40</v>
      </c>
      <c r="C7169">
        <v>7648876604</v>
      </c>
      <c r="D7169" s="2">
        <v>1</v>
      </c>
      <c r="E7169" t="str">
        <f>"4574674200873503"</f>
        <v>4574674200873503</v>
      </c>
      <c r="F7169" t="str">
        <f>"514"</f>
        <v>514</v>
      </c>
      <c r="G7169">
        <v>1</v>
      </c>
      <c r="H7169">
        <v>2023</v>
      </c>
      <c r="I7169" t="s">
        <v>7284</v>
      </c>
    </row>
    <row r="7170" spans="1:9" x14ac:dyDescent="0.3">
      <c r="A7170" t="s">
        <v>10148</v>
      </c>
      <c r="B7170" t="s">
        <v>40</v>
      </c>
      <c r="C7170">
        <v>7648876604</v>
      </c>
      <c r="D7170" s="2">
        <v>1</v>
      </c>
      <c r="E7170" t="str">
        <f>"4574674200873552"</f>
        <v>4574674200873552</v>
      </c>
      <c r="F7170" t="str">
        <f>"642"</f>
        <v>642</v>
      </c>
      <c r="G7170">
        <v>1</v>
      </c>
      <c r="H7170">
        <v>2023</v>
      </c>
      <c r="I7170" t="s">
        <v>7285</v>
      </c>
    </row>
    <row r="7171" spans="1:9" x14ac:dyDescent="0.3">
      <c r="A7171" t="s">
        <v>10148</v>
      </c>
      <c r="B7171" t="s">
        <v>40</v>
      </c>
      <c r="C7171">
        <v>7648876604</v>
      </c>
      <c r="D7171" s="2">
        <v>1</v>
      </c>
      <c r="E7171" t="str">
        <f>"4574674200873826"</f>
        <v>4574674200873826</v>
      </c>
      <c r="F7171" t="str">
        <f>"942"</f>
        <v>942</v>
      </c>
      <c r="G7171">
        <v>1</v>
      </c>
      <c r="H7171">
        <v>2023</v>
      </c>
      <c r="I7171" t="s">
        <v>7286</v>
      </c>
    </row>
    <row r="7172" spans="1:9" x14ac:dyDescent="0.3">
      <c r="A7172" t="s">
        <v>10148</v>
      </c>
      <c r="B7172" t="s">
        <v>40</v>
      </c>
      <c r="C7172">
        <v>7648876604</v>
      </c>
      <c r="D7172" s="2">
        <v>1</v>
      </c>
      <c r="E7172" t="str">
        <f>"4574674200873818"</f>
        <v>4574674200873818</v>
      </c>
      <c r="F7172" t="str">
        <f>"299"</f>
        <v>299</v>
      </c>
      <c r="G7172">
        <v>1</v>
      </c>
      <c r="H7172">
        <v>2023</v>
      </c>
      <c r="I7172" t="s">
        <v>7287</v>
      </c>
    </row>
    <row r="7173" spans="1:9" x14ac:dyDescent="0.3">
      <c r="A7173" t="s">
        <v>10148</v>
      </c>
      <c r="B7173" t="s">
        <v>40</v>
      </c>
      <c r="C7173">
        <v>7648876604</v>
      </c>
      <c r="D7173" s="2">
        <v>1</v>
      </c>
      <c r="E7173" t="str">
        <f>"4574674200873834"</f>
        <v>4574674200873834</v>
      </c>
      <c r="F7173" t="str">
        <f>"465"</f>
        <v>465</v>
      </c>
      <c r="G7173">
        <v>1</v>
      </c>
      <c r="H7173">
        <v>2023</v>
      </c>
      <c r="I7173" t="s">
        <v>7288</v>
      </c>
    </row>
    <row r="7174" spans="1:9" x14ac:dyDescent="0.3">
      <c r="A7174" t="s">
        <v>10148</v>
      </c>
      <c r="B7174" t="s">
        <v>40</v>
      </c>
      <c r="C7174">
        <v>7648876604</v>
      </c>
      <c r="D7174" s="2">
        <v>1</v>
      </c>
      <c r="E7174" t="str">
        <f>"4574674200873875"</f>
        <v>4574674200873875</v>
      </c>
      <c r="F7174" t="str">
        <f>"328"</f>
        <v>328</v>
      </c>
      <c r="G7174">
        <v>1</v>
      </c>
      <c r="H7174">
        <v>2023</v>
      </c>
      <c r="I7174" t="s">
        <v>7289</v>
      </c>
    </row>
    <row r="7175" spans="1:9" x14ac:dyDescent="0.3">
      <c r="A7175" t="s">
        <v>10148</v>
      </c>
      <c r="B7175" t="s">
        <v>40</v>
      </c>
      <c r="C7175">
        <v>7648876604</v>
      </c>
      <c r="D7175" s="2">
        <v>1</v>
      </c>
      <c r="E7175" t="str">
        <f>"4574674200873883"</f>
        <v>4574674200873883</v>
      </c>
      <c r="F7175" t="str">
        <f>"970"</f>
        <v>970</v>
      </c>
      <c r="G7175">
        <v>1</v>
      </c>
      <c r="H7175">
        <v>2023</v>
      </c>
      <c r="I7175" t="s">
        <v>7290</v>
      </c>
    </row>
    <row r="7176" spans="1:9" x14ac:dyDescent="0.3">
      <c r="A7176" t="s">
        <v>10148</v>
      </c>
      <c r="B7176" t="s">
        <v>40</v>
      </c>
      <c r="C7176">
        <v>7648876604</v>
      </c>
      <c r="D7176" s="2">
        <v>1</v>
      </c>
      <c r="E7176" t="str">
        <f>"4574674200873669"</f>
        <v>4574674200873669</v>
      </c>
      <c r="F7176" t="str">
        <f>"807"</f>
        <v>807</v>
      </c>
      <c r="G7176">
        <v>1</v>
      </c>
      <c r="H7176">
        <v>2023</v>
      </c>
      <c r="I7176" t="s">
        <v>7291</v>
      </c>
    </row>
    <row r="7177" spans="1:9" x14ac:dyDescent="0.3">
      <c r="A7177" t="s">
        <v>10149</v>
      </c>
      <c r="B7177" t="s">
        <v>41</v>
      </c>
      <c r="C7177">
        <v>7648876604</v>
      </c>
      <c r="D7177" s="2">
        <v>1</v>
      </c>
      <c r="E7177" t="str">
        <f>"4574674200873909"</f>
        <v>4574674200873909</v>
      </c>
      <c r="F7177" t="str">
        <f>"893"</f>
        <v>893</v>
      </c>
      <c r="G7177">
        <v>1</v>
      </c>
      <c r="H7177">
        <v>2023</v>
      </c>
      <c r="I7177" t="s">
        <v>7292</v>
      </c>
    </row>
    <row r="7178" spans="1:9" x14ac:dyDescent="0.3">
      <c r="A7178" t="s">
        <v>10149</v>
      </c>
      <c r="B7178" t="s">
        <v>41</v>
      </c>
      <c r="C7178">
        <v>7648876604</v>
      </c>
      <c r="D7178" s="2">
        <v>1</v>
      </c>
      <c r="E7178" t="str">
        <f>"4574674200873966"</f>
        <v>4574674200873966</v>
      </c>
      <c r="F7178" t="str">
        <f>"165"</f>
        <v>165</v>
      </c>
      <c r="G7178">
        <v>1</v>
      </c>
      <c r="H7178">
        <v>2023</v>
      </c>
      <c r="I7178" t="s">
        <v>7293</v>
      </c>
    </row>
    <row r="7179" spans="1:9" x14ac:dyDescent="0.3">
      <c r="A7179" t="s">
        <v>10149</v>
      </c>
      <c r="B7179" t="s">
        <v>41</v>
      </c>
      <c r="C7179">
        <v>7648876604</v>
      </c>
      <c r="D7179" s="2">
        <v>1</v>
      </c>
      <c r="E7179" t="str">
        <f>"4574674200873990"</f>
        <v>4574674200873990</v>
      </c>
      <c r="F7179" t="str">
        <f>"740"</f>
        <v>740</v>
      </c>
      <c r="G7179">
        <v>1</v>
      </c>
      <c r="H7179">
        <v>2023</v>
      </c>
      <c r="I7179" t="s">
        <v>7294</v>
      </c>
    </row>
    <row r="7180" spans="1:9" x14ac:dyDescent="0.3">
      <c r="A7180" t="s">
        <v>10149</v>
      </c>
      <c r="B7180" t="s">
        <v>41</v>
      </c>
      <c r="C7180">
        <v>7648876604</v>
      </c>
      <c r="D7180" s="2">
        <v>1</v>
      </c>
      <c r="E7180" t="str">
        <f>"4574674200874006"</f>
        <v>4574674200874006</v>
      </c>
      <c r="F7180" t="str">
        <f>"388"</f>
        <v>388</v>
      </c>
      <c r="G7180">
        <v>1</v>
      </c>
      <c r="H7180">
        <v>2023</v>
      </c>
      <c r="I7180" t="s">
        <v>7295</v>
      </c>
    </row>
    <row r="7181" spans="1:9" x14ac:dyDescent="0.3">
      <c r="A7181" t="s">
        <v>10149</v>
      </c>
      <c r="B7181" t="s">
        <v>41</v>
      </c>
      <c r="C7181">
        <v>7648876604</v>
      </c>
      <c r="D7181" s="2">
        <v>1</v>
      </c>
      <c r="E7181" t="str">
        <f>"4574674200874022"</f>
        <v>4574674200874022</v>
      </c>
      <c r="F7181" t="str">
        <f>"046"</f>
        <v>046</v>
      </c>
      <c r="G7181">
        <v>1</v>
      </c>
      <c r="H7181">
        <v>2023</v>
      </c>
      <c r="I7181" t="s">
        <v>7296</v>
      </c>
    </row>
    <row r="7182" spans="1:9" x14ac:dyDescent="0.3">
      <c r="A7182" t="s">
        <v>10149</v>
      </c>
      <c r="B7182" t="s">
        <v>41</v>
      </c>
      <c r="C7182">
        <v>7648876604</v>
      </c>
      <c r="D7182" s="2">
        <v>1</v>
      </c>
      <c r="E7182" t="str">
        <f>"4574674200873701"</f>
        <v>4574674200873701</v>
      </c>
      <c r="F7182" t="str">
        <f>"379"</f>
        <v>379</v>
      </c>
      <c r="G7182">
        <v>1</v>
      </c>
      <c r="H7182">
        <v>2023</v>
      </c>
      <c r="I7182" t="s">
        <v>7297</v>
      </c>
    </row>
    <row r="7183" spans="1:9" x14ac:dyDescent="0.3">
      <c r="A7183" t="s">
        <v>10149</v>
      </c>
      <c r="B7183" t="s">
        <v>41</v>
      </c>
      <c r="C7183">
        <v>7648876604</v>
      </c>
      <c r="D7183" s="2">
        <v>1</v>
      </c>
      <c r="E7183" t="str">
        <f>"4574674200874048"</f>
        <v>4574674200874048</v>
      </c>
      <c r="F7183" t="str">
        <f>"017"</f>
        <v>017</v>
      </c>
      <c r="G7183">
        <v>1</v>
      </c>
      <c r="H7183">
        <v>2023</v>
      </c>
      <c r="I7183" t="s">
        <v>7298</v>
      </c>
    </row>
    <row r="7184" spans="1:9" x14ac:dyDescent="0.3">
      <c r="A7184" t="s">
        <v>10149</v>
      </c>
      <c r="B7184" t="s">
        <v>41</v>
      </c>
      <c r="C7184">
        <v>7648876604</v>
      </c>
      <c r="D7184" s="2">
        <v>1</v>
      </c>
      <c r="E7184" t="str">
        <f>"4574674200874121"</f>
        <v>4574674200874121</v>
      </c>
      <c r="F7184" t="str">
        <f>"278"</f>
        <v>278</v>
      </c>
      <c r="G7184">
        <v>1</v>
      </c>
      <c r="H7184">
        <v>2023</v>
      </c>
      <c r="I7184" t="s">
        <v>7299</v>
      </c>
    </row>
    <row r="7185" spans="1:9" x14ac:dyDescent="0.3">
      <c r="A7185" t="s">
        <v>10149</v>
      </c>
      <c r="B7185" t="s">
        <v>41</v>
      </c>
      <c r="C7185">
        <v>7648876604</v>
      </c>
      <c r="D7185" s="2">
        <v>1</v>
      </c>
      <c r="E7185" t="str">
        <f>"4574674200874147"</f>
        <v>4574674200874147</v>
      </c>
      <c r="F7185" t="str">
        <f>"488"</f>
        <v>488</v>
      </c>
      <c r="G7185">
        <v>1</v>
      </c>
      <c r="H7185">
        <v>2023</v>
      </c>
      <c r="I7185" t="s">
        <v>7300</v>
      </c>
    </row>
    <row r="7186" spans="1:9" x14ac:dyDescent="0.3">
      <c r="A7186" t="s">
        <v>10149</v>
      </c>
      <c r="B7186" t="s">
        <v>41</v>
      </c>
      <c r="C7186">
        <v>7648876604</v>
      </c>
      <c r="D7186" s="2">
        <v>1</v>
      </c>
      <c r="E7186" t="str">
        <f>"4574674200874162"</f>
        <v>4574674200874162</v>
      </c>
      <c r="F7186" t="str">
        <f>"386"</f>
        <v>386</v>
      </c>
      <c r="G7186">
        <v>1</v>
      </c>
      <c r="H7186">
        <v>2023</v>
      </c>
      <c r="I7186" t="s">
        <v>7301</v>
      </c>
    </row>
    <row r="7187" spans="1:9" x14ac:dyDescent="0.3">
      <c r="A7187" t="s">
        <v>10150</v>
      </c>
      <c r="B7187" t="s">
        <v>42</v>
      </c>
      <c r="C7187">
        <v>7648876604</v>
      </c>
      <c r="D7187" s="2">
        <v>1</v>
      </c>
      <c r="E7187" t="str">
        <f>"4574674200873735"</f>
        <v>4574674200873735</v>
      </c>
      <c r="F7187" t="str">
        <f>"170"</f>
        <v>170</v>
      </c>
      <c r="G7187">
        <v>1</v>
      </c>
      <c r="H7187">
        <v>2023</v>
      </c>
      <c r="I7187" t="s">
        <v>7302</v>
      </c>
    </row>
    <row r="7188" spans="1:9" x14ac:dyDescent="0.3">
      <c r="A7188" t="s">
        <v>10150</v>
      </c>
      <c r="B7188" t="s">
        <v>42</v>
      </c>
      <c r="C7188">
        <v>7648876604</v>
      </c>
      <c r="D7188" s="2">
        <v>1</v>
      </c>
      <c r="E7188" t="str">
        <f>"4574674200874170"</f>
        <v>4574674200874170</v>
      </c>
      <c r="F7188" t="str">
        <f>"162"</f>
        <v>162</v>
      </c>
      <c r="G7188">
        <v>1</v>
      </c>
      <c r="H7188">
        <v>2023</v>
      </c>
      <c r="I7188" t="s">
        <v>7303</v>
      </c>
    </row>
    <row r="7189" spans="1:9" x14ac:dyDescent="0.3">
      <c r="A7189" t="s">
        <v>10150</v>
      </c>
      <c r="B7189" t="s">
        <v>42</v>
      </c>
      <c r="C7189">
        <v>7648876604</v>
      </c>
      <c r="D7189" s="2">
        <v>1</v>
      </c>
      <c r="E7189" t="str">
        <f>"4574674200874196"</f>
        <v>4574674200874196</v>
      </c>
      <c r="F7189" t="str">
        <f>"474"</f>
        <v>474</v>
      </c>
      <c r="G7189">
        <v>1</v>
      </c>
      <c r="H7189">
        <v>2023</v>
      </c>
      <c r="I7189" t="s">
        <v>7304</v>
      </c>
    </row>
    <row r="7190" spans="1:9" x14ac:dyDescent="0.3">
      <c r="A7190" t="s">
        <v>10150</v>
      </c>
      <c r="B7190" t="s">
        <v>42</v>
      </c>
      <c r="C7190">
        <v>7648876604</v>
      </c>
      <c r="D7190" s="2">
        <v>1</v>
      </c>
      <c r="E7190" t="str">
        <f>"4574674200874279"</f>
        <v>4574674200874279</v>
      </c>
      <c r="F7190" t="str">
        <f>"891"</f>
        <v>891</v>
      </c>
      <c r="G7190">
        <v>1</v>
      </c>
      <c r="H7190">
        <v>2023</v>
      </c>
      <c r="I7190" t="s">
        <v>7305</v>
      </c>
    </row>
    <row r="7191" spans="1:9" x14ac:dyDescent="0.3">
      <c r="A7191" t="s">
        <v>10150</v>
      </c>
      <c r="B7191" t="s">
        <v>42</v>
      </c>
      <c r="C7191">
        <v>7648876604</v>
      </c>
      <c r="D7191" s="2">
        <v>1</v>
      </c>
      <c r="E7191" t="str">
        <f>"4574674200874287"</f>
        <v>4574674200874287</v>
      </c>
      <c r="F7191" t="str">
        <f>"604"</f>
        <v>604</v>
      </c>
      <c r="G7191">
        <v>1</v>
      </c>
      <c r="H7191">
        <v>2023</v>
      </c>
      <c r="I7191" t="s">
        <v>7306</v>
      </c>
    </row>
    <row r="7192" spans="1:9" x14ac:dyDescent="0.3">
      <c r="A7192" t="s">
        <v>10150</v>
      </c>
      <c r="B7192" t="s">
        <v>42</v>
      </c>
      <c r="C7192">
        <v>7648876604</v>
      </c>
      <c r="D7192" s="2">
        <v>1</v>
      </c>
      <c r="E7192" t="str">
        <f>"4574674200873768"</f>
        <v>4574674200873768</v>
      </c>
      <c r="F7192" t="str">
        <f>"250"</f>
        <v>250</v>
      </c>
      <c r="G7192">
        <v>1</v>
      </c>
      <c r="H7192">
        <v>2023</v>
      </c>
      <c r="I7192" t="s">
        <v>7307</v>
      </c>
    </row>
    <row r="7193" spans="1:9" x14ac:dyDescent="0.3">
      <c r="A7193" t="s">
        <v>10150</v>
      </c>
      <c r="B7193" t="s">
        <v>42</v>
      </c>
      <c r="C7193">
        <v>7648876604</v>
      </c>
      <c r="D7193" s="2">
        <v>1</v>
      </c>
      <c r="E7193" t="str">
        <f>"4574674200874337"</f>
        <v>4574674200874337</v>
      </c>
      <c r="F7193" t="str">
        <f>"884"</f>
        <v>884</v>
      </c>
      <c r="G7193">
        <v>1</v>
      </c>
      <c r="H7193">
        <v>2023</v>
      </c>
      <c r="I7193" t="s">
        <v>7308</v>
      </c>
    </row>
    <row r="7194" spans="1:9" x14ac:dyDescent="0.3">
      <c r="A7194" t="s">
        <v>10150</v>
      </c>
      <c r="B7194" t="s">
        <v>42</v>
      </c>
      <c r="C7194">
        <v>7648876604</v>
      </c>
      <c r="D7194" s="2">
        <v>1</v>
      </c>
      <c r="E7194" t="str">
        <f>"4574674200873784"</f>
        <v>4574674200873784</v>
      </c>
      <c r="F7194" t="str">
        <f>"968"</f>
        <v>968</v>
      </c>
      <c r="G7194">
        <v>1</v>
      </c>
      <c r="H7194">
        <v>2023</v>
      </c>
      <c r="I7194" t="s">
        <v>7309</v>
      </c>
    </row>
    <row r="7195" spans="1:9" x14ac:dyDescent="0.3">
      <c r="A7195" t="s">
        <v>10150</v>
      </c>
      <c r="B7195" t="s">
        <v>42</v>
      </c>
      <c r="C7195">
        <v>7648876604</v>
      </c>
      <c r="D7195" s="2">
        <v>1</v>
      </c>
      <c r="E7195" t="str">
        <f>"4574674200874345"</f>
        <v>4574674200874345</v>
      </c>
      <c r="F7195" t="str">
        <f>"323"</f>
        <v>323</v>
      </c>
      <c r="G7195">
        <v>1</v>
      </c>
      <c r="H7195">
        <v>2023</v>
      </c>
      <c r="I7195" t="s">
        <v>7310</v>
      </c>
    </row>
    <row r="7196" spans="1:9" x14ac:dyDescent="0.3">
      <c r="A7196" t="s">
        <v>10150</v>
      </c>
      <c r="B7196" t="s">
        <v>42</v>
      </c>
      <c r="C7196">
        <v>7648876604</v>
      </c>
      <c r="D7196" s="2">
        <v>1</v>
      </c>
      <c r="E7196" t="str">
        <f>"4574674200874642"</f>
        <v>4574674200874642</v>
      </c>
      <c r="F7196" t="str">
        <f>"935"</f>
        <v>935</v>
      </c>
      <c r="G7196">
        <v>1</v>
      </c>
      <c r="H7196">
        <v>2023</v>
      </c>
      <c r="I7196" t="s">
        <v>7311</v>
      </c>
    </row>
    <row r="7197" spans="1:9" x14ac:dyDescent="0.3">
      <c r="A7197" t="s">
        <v>10147</v>
      </c>
      <c r="B7197" t="s">
        <v>39</v>
      </c>
      <c r="C7197">
        <v>7648876604</v>
      </c>
      <c r="D7197" s="2">
        <v>1</v>
      </c>
      <c r="E7197" t="str">
        <f>"4574674200874436"</f>
        <v>4574674200874436</v>
      </c>
      <c r="F7197" t="str">
        <f>"247"</f>
        <v>247</v>
      </c>
      <c r="G7197">
        <v>1</v>
      </c>
      <c r="H7197">
        <v>2023</v>
      </c>
      <c r="I7197" t="s">
        <v>7312</v>
      </c>
    </row>
    <row r="7198" spans="1:9" x14ac:dyDescent="0.3">
      <c r="A7198" t="s">
        <v>10147</v>
      </c>
      <c r="B7198" t="s">
        <v>39</v>
      </c>
      <c r="C7198">
        <v>7648876604</v>
      </c>
      <c r="D7198" s="2">
        <v>1</v>
      </c>
      <c r="E7198" t="str">
        <f>"4574674200874469"</f>
        <v>4574674200874469</v>
      </c>
      <c r="F7198" t="str">
        <f>"926"</f>
        <v>926</v>
      </c>
      <c r="G7198">
        <v>1</v>
      </c>
      <c r="H7198">
        <v>2023</v>
      </c>
      <c r="I7198" t="s">
        <v>7313</v>
      </c>
    </row>
    <row r="7199" spans="1:9" x14ac:dyDescent="0.3">
      <c r="A7199" t="s">
        <v>10147</v>
      </c>
      <c r="B7199" t="s">
        <v>39</v>
      </c>
      <c r="C7199">
        <v>7648876604</v>
      </c>
      <c r="D7199" s="2">
        <v>1</v>
      </c>
      <c r="E7199" t="str">
        <f>"4574674200874535"</f>
        <v>4574674200874535</v>
      </c>
      <c r="F7199" t="str">
        <f>"555"</f>
        <v>555</v>
      </c>
      <c r="G7199">
        <v>1</v>
      </c>
      <c r="H7199">
        <v>2023</v>
      </c>
      <c r="I7199" t="s">
        <v>7314</v>
      </c>
    </row>
    <row r="7200" spans="1:9" x14ac:dyDescent="0.3">
      <c r="A7200" t="s">
        <v>10147</v>
      </c>
      <c r="B7200" t="s">
        <v>39</v>
      </c>
      <c r="C7200">
        <v>7648876604</v>
      </c>
      <c r="D7200" s="2">
        <v>1</v>
      </c>
      <c r="E7200" t="str">
        <f>"4574674200874527"</f>
        <v>4574674200874527</v>
      </c>
      <c r="F7200" t="str">
        <f>"067"</f>
        <v>067</v>
      </c>
      <c r="G7200">
        <v>1</v>
      </c>
      <c r="H7200">
        <v>2023</v>
      </c>
      <c r="I7200" t="s">
        <v>7315</v>
      </c>
    </row>
    <row r="7201" spans="1:9" x14ac:dyDescent="0.3">
      <c r="A7201" t="s">
        <v>10147</v>
      </c>
      <c r="B7201" t="s">
        <v>39</v>
      </c>
      <c r="C7201">
        <v>7648876604</v>
      </c>
      <c r="D7201" s="2">
        <v>1</v>
      </c>
      <c r="E7201" t="str">
        <f>"4574674200874691"</f>
        <v>4574674200874691</v>
      </c>
      <c r="F7201" t="str">
        <f>"501"</f>
        <v>501</v>
      </c>
      <c r="G7201">
        <v>1</v>
      </c>
      <c r="H7201">
        <v>2023</v>
      </c>
      <c r="I7201" t="s">
        <v>7316</v>
      </c>
    </row>
    <row r="7202" spans="1:9" x14ac:dyDescent="0.3">
      <c r="A7202" t="s">
        <v>10147</v>
      </c>
      <c r="B7202" t="s">
        <v>39</v>
      </c>
      <c r="C7202">
        <v>7648876604</v>
      </c>
      <c r="D7202" s="2">
        <v>1</v>
      </c>
      <c r="E7202" t="str">
        <f>"4574674200874592"</f>
        <v>4574674200874592</v>
      </c>
      <c r="F7202" t="str">
        <f>"953"</f>
        <v>953</v>
      </c>
      <c r="G7202">
        <v>1</v>
      </c>
      <c r="H7202">
        <v>2023</v>
      </c>
      <c r="I7202" t="s">
        <v>7317</v>
      </c>
    </row>
    <row r="7203" spans="1:9" x14ac:dyDescent="0.3">
      <c r="A7203" t="s">
        <v>10147</v>
      </c>
      <c r="B7203" t="s">
        <v>39</v>
      </c>
      <c r="C7203">
        <v>7648876604</v>
      </c>
      <c r="D7203" s="2">
        <v>1</v>
      </c>
      <c r="E7203" t="str">
        <f>"4574674200874816"</f>
        <v>4574674200874816</v>
      </c>
      <c r="F7203" t="str">
        <f>"074"</f>
        <v>074</v>
      </c>
      <c r="G7203">
        <v>1</v>
      </c>
      <c r="H7203">
        <v>2023</v>
      </c>
      <c r="I7203" t="s">
        <v>7318</v>
      </c>
    </row>
    <row r="7204" spans="1:9" x14ac:dyDescent="0.3">
      <c r="A7204" t="s">
        <v>10147</v>
      </c>
      <c r="B7204" t="s">
        <v>39</v>
      </c>
      <c r="C7204">
        <v>7648876604</v>
      </c>
      <c r="D7204" s="2">
        <v>1</v>
      </c>
      <c r="E7204" t="str">
        <f>"4574674200874709"</f>
        <v>4574674200874709</v>
      </c>
      <c r="F7204" t="str">
        <f>"396"</f>
        <v>396</v>
      </c>
      <c r="G7204">
        <v>1</v>
      </c>
      <c r="H7204">
        <v>2023</v>
      </c>
      <c r="I7204" t="s">
        <v>7319</v>
      </c>
    </row>
    <row r="7205" spans="1:9" x14ac:dyDescent="0.3">
      <c r="A7205" t="s">
        <v>10147</v>
      </c>
      <c r="B7205" t="s">
        <v>39</v>
      </c>
      <c r="C7205">
        <v>7648876604</v>
      </c>
      <c r="D7205" s="2">
        <v>1</v>
      </c>
      <c r="E7205" t="str">
        <f>"4574674200874733"</f>
        <v>4574674200874733</v>
      </c>
      <c r="F7205" t="str">
        <f>"387"</f>
        <v>387</v>
      </c>
      <c r="G7205">
        <v>1</v>
      </c>
      <c r="H7205">
        <v>2023</v>
      </c>
      <c r="I7205" t="s">
        <v>7320</v>
      </c>
    </row>
    <row r="7206" spans="1:9" x14ac:dyDescent="0.3">
      <c r="A7206" t="s">
        <v>10147</v>
      </c>
      <c r="B7206" t="s">
        <v>39</v>
      </c>
      <c r="C7206">
        <v>7648876604</v>
      </c>
      <c r="D7206" s="2">
        <v>1</v>
      </c>
      <c r="E7206" t="str">
        <f>"4574674200874840"</f>
        <v>4574674200874840</v>
      </c>
      <c r="F7206" t="str">
        <f>"895"</f>
        <v>895</v>
      </c>
      <c r="G7206">
        <v>1</v>
      </c>
      <c r="H7206">
        <v>2023</v>
      </c>
      <c r="I7206" t="s">
        <v>7321</v>
      </c>
    </row>
    <row r="7207" spans="1:9" x14ac:dyDescent="0.3">
      <c r="A7207" t="s">
        <v>10148</v>
      </c>
      <c r="B7207" t="s">
        <v>40</v>
      </c>
      <c r="C7207">
        <v>7648876604</v>
      </c>
      <c r="D7207" s="2">
        <v>1</v>
      </c>
      <c r="E7207" t="str">
        <f>"4574674200874873"</f>
        <v>4574674200874873</v>
      </c>
      <c r="F7207" t="str">
        <f>"682"</f>
        <v>682</v>
      </c>
      <c r="G7207">
        <v>1</v>
      </c>
      <c r="H7207">
        <v>2023</v>
      </c>
      <c r="I7207" t="s">
        <v>7322</v>
      </c>
    </row>
    <row r="7208" spans="1:9" x14ac:dyDescent="0.3">
      <c r="A7208" t="s">
        <v>10148</v>
      </c>
      <c r="B7208" t="s">
        <v>40</v>
      </c>
      <c r="C7208">
        <v>7648876604</v>
      </c>
      <c r="D7208" s="2">
        <v>1</v>
      </c>
      <c r="E7208" t="str">
        <f>"4574674200874964"</f>
        <v>4574674200874964</v>
      </c>
      <c r="F7208" t="str">
        <f>"170"</f>
        <v>170</v>
      </c>
      <c r="G7208">
        <v>1</v>
      </c>
      <c r="H7208">
        <v>2023</v>
      </c>
      <c r="I7208" t="s">
        <v>7323</v>
      </c>
    </row>
    <row r="7209" spans="1:9" x14ac:dyDescent="0.3">
      <c r="A7209" t="s">
        <v>10148</v>
      </c>
      <c r="B7209" t="s">
        <v>40</v>
      </c>
      <c r="C7209">
        <v>7648876604</v>
      </c>
      <c r="D7209" s="2">
        <v>1</v>
      </c>
      <c r="E7209" t="str">
        <f>"4574674200874972"</f>
        <v>4574674200874972</v>
      </c>
      <c r="F7209" t="str">
        <f>"717"</f>
        <v>717</v>
      </c>
      <c r="G7209">
        <v>1</v>
      </c>
      <c r="H7209">
        <v>2023</v>
      </c>
      <c r="I7209" t="s">
        <v>7324</v>
      </c>
    </row>
    <row r="7210" spans="1:9" x14ac:dyDescent="0.3">
      <c r="A7210" t="s">
        <v>10148</v>
      </c>
      <c r="B7210" t="s">
        <v>40</v>
      </c>
      <c r="C7210">
        <v>7648876604</v>
      </c>
      <c r="D7210" s="2">
        <v>1</v>
      </c>
      <c r="E7210" t="str">
        <f>"4574674200874790"</f>
        <v>4574674200874790</v>
      </c>
      <c r="F7210" t="str">
        <f>"341"</f>
        <v>341</v>
      </c>
      <c r="G7210">
        <v>1</v>
      </c>
      <c r="H7210">
        <v>2023</v>
      </c>
      <c r="I7210" t="s">
        <v>7325</v>
      </c>
    </row>
    <row r="7211" spans="1:9" x14ac:dyDescent="0.3">
      <c r="A7211" t="s">
        <v>10148</v>
      </c>
      <c r="B7211" t="s">
        <v>40</v>
      </c>
      <c r="C7211">
        <v>7648876604</v>
      </c>
      <c r="D7211" s="2">
        <v>1</v>
      </c>
      <c r="E7211" t="str">
        <f>"4574674200875011"</f>
        <v>4574674200875011</v>
      </c>
      <c r="F7211" t="str">
        <f>"341"</f>
        <v>341</v>
      </c>
      <c r="G7211">
        <v>1</v>
      </c>
      <c r="H7211">
        <v>2023</v>
      </c>
      <c r="I7211" t="s">
        <v>7326</v>
      </c>
    </row>
    <row r="7212" spans="1:9" x14ac:dyDescent="0.3">
      <c r="A7212" t="s">
        <v>10148</v>
      </c>
      <c r="B7212" t="s">
        <v>40</v>
      </c>
      <c r="C7212">
        <v>7648876604</v>
      </c>
      <c r="D7212" s="2">
        <v>1</v>
      </c>
      <c r="E7212" t="str">
        <f>"4574674200875045"</f>
        <v>4574674200875045</v>
      </c>
      <c r="F7212" t="str">
        <f>"624"</f>
        <v>624</v>
      </c>
      <c r="G7212">
        <v>1</v>
      </c>
      <c r="H7212">
        <v>2023</v>
      </c>
      <c r="I7212" t="s">
        <v>7327</v>
      </c>
    </row>
    <row r="7213" spans="1:9" x14ac:dyDescent="0.3">
      <c r="A7213" t="s">
        <v>10148</v>
      </c>
      <c r="B7213" t="s">
        <v>40</v>
      </c>
      <c r="C7213">
        <v>7648876604</v>
      </c>
      <c r="D7213" s="2">
        <v>1</v>
      </c>
      <c r="E7213" t="str">
        <f>"4574674200875201"</f>
        <v>4574674200875201</v>
      </c>
      <c r="F7213" t="str">
        <f>"057"</f>
        <v>057</v>
      </c>
      <c r="G7213">
        <v>1</v>
      </c>
      <c r="H7213">
        <v>2023</v>
      </c>
      <c r="I7213" t="s">
        <v>7328</v>
      </c>
    </row>
    <row r="7214" spans="1:9" x14ac:dyDescent="0.3">
      <c r="A7214" t="s">
        <v>10148</v>
      </c>
      <c r="B7214" t="s">
        <v>40</v>
      </c>
      <c r="C7214">
        <v>7648876604</v>
      </c>
      <c r="D7214" s="2">
        <v>1</v>
      </c>
      <c r="E7214" t="str">
        <f>"4574674200875250"</f>
        <v>4574674200875250</v>
      </c>
      <c r="F7214" t="str">
        <f>"422"</f>
        <v>422</v>
      </c>
      <c r="G7214">
        <v>1</v>
      </c>
      <c r="H7214">
        <v>2023</v>
      </c>
      <c r="I7214" t="s">
        <v>7329</v>
      </c>
    </row>
    <row r="7215" spans="1:9" x14ac:dyDescent="0.3">
      <c r="A7215" t="s">
        <v>10148</v>
      </c>
      <c r="B7215" t="s">
        <v>40</v>
      </c>
      <c r="C7215">
        <v>7648876604</v>
      </c>
      <c r="D7215" s="2">
        <v>1</v>
      </c>
      <c r="E7215" t="str">
        <f>"4574674200875276"</f>
        <v>4574674200875276</v>
      </c>
      <c r="F7215" t="str">
        <f>"054"</f>
        <v>054</v>
      </c>
      <c r="G7215">
        <v>1</v>
      </c>
      <c r="H7215">
        <v>2023</v>
      </c>
      <c r="I7215" t="s">
        <v>7330</v>
      </c>
    </row>
    <row r="7216" spans="1:9" x14ac:dyDescent="0.3">
      <c r="A7216" t="s">
        <v>10148</v>
      </c>
      <c r="B7216" t="s">
        <v>40</v>
      </c>
      <c r="C7216">
        <v>7648876604</v>
      </c>
      <c r="D7216" s="2">
        <v>1</v>
      </c>
      <c r="E7216" t="str">
        <f>"4574674200875326"</f>
        <v>4574674200875326</v>
      </c>
      <c r="F7216" t="str">
        <f>"025"</f>
        <v>025</v>
      </c>
      <c r="G7216">
        <v>1</v>
      </c>
      <c r="H7216">
        <v>2023</v>
      </c>
      <c r="I7216" t="s">
        <v>7331</v>
      </c>
    </row>
    <row r="7217" spans="1:9" x14ac:dyDescent="0.3">
      <c r="A7217" t="s">
        <v>10149</v>
      </c>
      <c r="B7217" t="s">
        <v>41</v>
      </c>
      <c r="C7217">
        <v>7648876604</v>
      </c>
      <c r="D7217" s="2">
        <v>1</v>
      </c>
      <c r="E7217" t="str">
        <f>"4574674200875128"</f>
        <v>4574674200875128</v>
      </c>
      <c r="F7217" t="str">
        <f>"032"</f>
        <v>032</v>
      </c>
      <c r="G7217">
        <v>1</v>
      </c>
      <c r="H7217">
        <v>2023</v>
      </c>
      <c r="I7217" t="s">
        <v>7332</v>
      </c>
    </row>
    <row r="7218" spans="1:9" x14ac:dyDescent="0.3">
      <c r="A7218" t="s">
        <v>10149</v>
      </c>
      <c r="B7218" t="s">
        <v>41</v>
      </c>
      <c r="C7218">
        <v>7648876604</v>
      </c>
      <c r="D7218" s="2">
        <v>1</v>
      </c>
      <c r="E7218" t="str">
        <f>"4574674200875136"</f>
        <v>4574674200875136</v>
      </c>
      <c r="F7218" t="str">
        <f>"810"</f>
        <v>810</v>
      </c>
      <c r="G7218">
        <v>1</v>
      </c>
      <c r="H7218">
        <v>2023</v>
      </c>
      <c r="I7218" t="s">
        <v>7333</v>
      </c>
    </row>
    <row r="7219" spans="1:9" x14ac:dyDescent="0.3">
      <c r="A7219" t="s">
        <v>10149</v>
      </c>
      <c r="B7219" t="s">
        <v>41</v>
      </c>
      <c r="C7219">
        <v>7648876604</v>
      </c>
      <c r="D7219" s="2">
        <v>1</v>
      </c>
      <c r="E7219" t="str">
        <f>"4574674200875409"</f>
        <v>4574674200875409</v>
      </c>
      <c r="F7219" t="str">
        <f>"906"</f>
        <v>906</v>
      </c>
      <c r="G7219">
        <v>1</v>
      </c>
      <c r="H7219">
        <v>2023</v>
      </c>
      <c r="I7219" t="s">
        <v>7334</v>
      </c>
    </row>
    <row r="7220" spans="1:9" x14ac:dyDescent="0.3">
      <c r="A7220" t="s">
        <v>10149</v>
      </c>
      <c r="B7220" t="s">
        <v>41</v>
      </c>
      <c r="C7220">
        <v>7648876604</v>
      </c>
      <c r="D7220" s="2">
        <v>1</v>
      </c>
      <c r="E7220" t="str">
        <f>"4574674200875425"</f>
        <v>4574674200875425</v>
      </c>
      <c r="F7220" t="str">
        <f>"878"</f>
        <v>878</v>
      </c>
      <c r="G7220">
        <v>1</v>
      </c>
      <c r="H7220">
        <v>2023</v>
      </c>
      <c r="I7220" t="s">
        <v>7335</v>
      </c>
    </row>
    <row r="7221" spans="1:9" x14ac:dyDescent="0.3">
      <c r="A7221" t="s">
        <v>10149</v>
      </c>
      <c r="B7221" t="s">
        <v>41</v>
      </c>
      <c r="C7221">
        <v>7648876604</v>
      </c>
      <c r="D7221" s="2">
        <v>1</v>
      </c>
      <c r="E7221" t="str">
        <f>"4574674200875433"</f>
        <v>4574674200875433</v>
      </c>
      <c r="F7221" t="str">
        <f>"123"</f>
        <v>123</v>
      </c>
      <c r="G7221">
        <v>1</v>
      </c>
      <c r="H7221">
        <v>2023</v>
      </c>
      <c r="I7221" t="s">
        <v>7336</v>
      </c>
    </row>
    <row r="7222" spans="1:9" x14ac:dyDescent="0.3">
      <c r="A7222" t="s">
        <v>10149</v>
      </c>
      <c r="B7222" t="s">
        <v>41</v>
      </c>
      <c r="C7222">
        <v>7648876604</v>
      </c>
      <c r="D7222" s="2">
        <v>1</v>
      </c>
      <c r="E7222" t="str">
        <f>"4574674200875441"</f>
        <v>4574674200875441</v>
      </c>
      <c r="F7222" t="str">
        <f>"554"</f>
        <v>554</v>
      </c>
      <c r="G7222">
        <v>1</v>
      </c>
      <c r="H7222">
        <v>2023</v>
      </c>
      <c r="I7222" t="s">
        <v>7337</v>
      </c>
    </row>
    <row r="7223" spans="1:9" x14ac:dyDescent="0.3">
      <c r="A7223" t="s">
        <v>10149</v>
      </c>
      <c r="B7223" t="s">
        <v>41</v>
      </c>
      <c r="C7223">
        <v>7648876604</v>
      </c>
      <c r="D7223" s="2">
        <v>1</v>
      </c>
      <c r="E7223" t="str">
        <f>"4574674200875169"</f>
        <v>4574674200875169</v>
      </c>
      <c r="F7223" t="str">
        <f>"285"</f>
        <v>285</v>
      </c>
      <c r="G7223">
        <v>1</v>
      </c>
      <c r="H7223">
        <v>2023</v>
      </c>
      <c r="I7223" t="s">
        <v>7338</v>
      </c>
    </row>
    <row r="7224" spans="1:9" x14ac:dyDescent="0.3">
      <c r="A7224" t="s">
        <v>10149</v>
      </c>
      <c r="B7224" t="s">
        <v>41</v>
      </c>
      <c r="C7224">
        <v>7648876604</v>
      </c>
      <c r="D7224" s="2">
        <v>1</v>
      </c>
      <c r="E7224" t="str">
        <f>"4574674200875623"</f>
        <v>4574674200875623</v>
      </c>
      <c r="F7224" t="str">
        <f>"866"</f>
        <v>866</v>
      </c>
      <c r="G7224">
        <v>1</v>
      </c>
      <c r="H7224">
        <v>2023</v>
      </c>
      <c r="I7224" t="s">
        <v>7339</v>
      </c>
    </row>
    <row r="7225" spans="1:9" x14ac:dyDescent="0.3">
      <c r="A7225" t="s">
        <v>10149</v>
      </c>
      <c r="B7225" t="s">
        <v>41</v>
      </c>
      <c r="C7225">
        <v>7648876604</v>
      </c>
      <c r="D7225" s="2">
        <v>1</v>
      </c>
      <c r="E7225" t="str">
        <f>"4574674200875540"</f>
        <v>4574674200875540</v>
      </c>
      <c r="F7225" t="str">
        <f>"543"</f>
        <v>543</v>
      </c>
      <c r="G7225">
        <v>1</v>
      </c>
      <c r="H7225">
        <v>2023</v>
      </c>
      <c r="I7225" t="s">
        <v>7340</v>
      </c>
    </row>
    <row r="7226" spans="1:9" x14ac:dyDescent="0.3">
      <c r="A7226" t="s">
        <v>10149</v>
      </c>
      <c r="B7226" t="s">
        <v>41</v>
      </c>
      <c r="C7226">
        <v>7648876604</v>
      </c>
      <c r="D7226" s="2">
        <v>1</v>
      </c>
      <c r="E7226" t="str">
        <f>"4574674200875565"</f>
        <v>4574674200875565</v>
      </c>
      <c r="F7226" t="str">
        <f>"043"</f>
        <v>043</v>
      </c>
      <c r="G7226">
        <v>1</v>
      </c>
      <c r="H7226">
        <v>2023</v>
      </c>
      <c r="I7226" t="s">
        <v>7341</v>
      </c>
    </row>
    <row r="7227" spans="1:9" x14ac:dyDescent="0.3">
      <c r="A7227" t="s">
        <v>10150</v>
      </c>
      <c r="B7227" t="s">
        <v>42</v>
      </c>
      <c r="C7227">
        <v>7648876604</v>
      </c>
      <c r="D7227" s="2">
        <v>1</v>
      </c>
      <c r="E7227" t="str">
        <f>"4574674200875656"</f>
        <v>4574674200875656</v>
      </c>
      <c r="F7227" t="str">
        <f>"444"</f>
        <v>444</v>
      </c>
      <c r="G7227">
        <v>1</v>
      </c>
      <c r="H7227">
        <v>2023</v>
      </c>
      <c r="I7227" t="s">
        <v>7342</v>
      </c>
    </row>
    <row r="7228" spans="1:9" x14ac:dyDescent="0.3">
      <c r="A7228" t="s">
        <v>10150</v>
      </c>
      <c r="B7228" t="s">
        <v>42</v>
      </c>
      <c r="C7228">
        <v>7648876604</v>
      </c>
      <c r="D7228" s="2">
        <v>1</v>
      </c>
      <c r="E7228" t="str">
        <f>"4574674200875839"</f>
        <v>4574674200875839</v>
      </c>
      <c r="F7228" t="str">
        <f>"142"</f>
        <v>142</v>
      </c>
      <c r="G7228">
        <v>1</v>
      </c>
      <c r="H7228">
        <v>2023</v>
      </c>
      <c r="I7228" t="s">
        <v>7343</v>
      </c>
    </row>
    <row r="7229" spans="1:9" x14ac:dyDescent="0.3">
      <c r="A7229" t="s">
        <v>10150</v>
      </c>
      <c r="B7229" t="s">
        <v>42</v>
      </c>
      <c r="C7229">
        <v>7648876604</v>
      </c>
      <c r="D7229" s="2">
        <v>1</v>
      </c>
      <c r="E7229" t="str">
        <f>"4574674200875821"</f>
        <v>4574674200875821</v>
      </c>
      <c r="F7229" t="str">
        <f>"096"</f>
        <v>096</v>
      </c>
      <c r="G7229">
        <v>1</v>
      </c>
      <c r="H7229">
        <v>2023</v>
      </c>
      <c r="I7229" t="s">
        <v>7344</v>
      </c>
    </row>
    <row r="7230" spans="1:9" x14ac:dyDescent="0.3">
      <c r="A7230" t="s">
        <v>10150</v>
      </c>
      <c r="B7230" t="s">
        <v>42</v>
      </c>
      <c r="C7230">
        <v>7648876604</v>
      </c>
      <c r="D7230" s="2">
        <v>1</v>
      </c>
      <c r="E7230" t="str">
        <f>"4574674200875698"</f>
        <v>4574674200875698</v>
      </c>
      <c r="F7230" t="str">
        <f>"006"</f>
        <v>006</v>
      </c>
      <c r="G7230">
        <v>1</v>
      </c>
      <c r="H7230">
        <v>2023</v>
      </c>
      <c r="I7230" t="s">
        <v>7345</v>
      </c>
    </row>
    <row r="7231" spans="1:9" x14ac:dyDescent="0.3">
      <c r="A7231" t="s">
        <v>10150</v>
      </c>
      <c r="B7231" t="s">
        <v>42</v>
      </c>
      <c r="C7231">
        <v>7648876604</v>
      </c>
      <c r="D7231" s="2">
        <v>1</v>
      </c>
      <c r="E7231" t="str">
        <f>"4574674200875904"</f>
        <v>4574674200875904</v>
      </c>
      <c r="F7231" t="str">
        <f>"889"</f>
        <v>889</v>
      </c>
      <c r="G7231">
        <v>1</v>
      </c>
      <c r="H7231">
        <v>2023</v>
      </c>
      <c r="I7231" t="s">
        <v>7346</v>
      </c>
    </row>
    <row r="7232" spans="1:9" x14ac:dyDescent="0.3">
      <c r="A7232" t="s">
        <v>10150</v>
      </c>
      <c r="B7232" t="s">
        <v>42</v>
      </c>
      <c r="C7232">
        <v>7648876604</v>
      </c>
      <c r="D7232" s="2">
        <v>1</v>
      </c>
      <c r="E7232" t="str">
        <f>"4574674200875912"</f>
        <v>4574674200875912</v>
      </c>
      <c r="F7232" t="str">
        <f>"920"</f>
        <v>920</v>
      </c>
      <c r="G7232">
        <v>1</v>
      </c>
      <c r="H7232">
        <v>2023</v>
      </c>
      <c r="I7232" t="s">
        <v>7347</v>
      </c>
    </row>
    <row r="7233" spans="1:9" x14ac:dyDescent="0.3">
      <c r="A7233" t="s">
        <v>10150</v>
      </c>
      <c r="B7233" t="s">
        <v>42</v>
      </c>
      <c r="C7233">
        <v>7648876604</v>
      </c>
      <c r="D7233" s="2">
        <v>1</v>
      </c>
      <c r="E7233" t="str">
        <f>"4574674200875987"</f>
        <v>4574674200875987</v>
      </c>
      <c r="F7233" t="str">
        <f>"390"</f>
        <v>390</v>
      </c>
      <c r="G7233">
        <v>1</v>
      </c>
      <c r="H7233">
        <v>2023</v>
      </c>
      <c r="I7233" t="s">
        <v>7348</v>
      </c>
    </row>
    <row r="7234" spans="1:9" x14ac:dyDescent="0.3">
      <c r="A7234" t="s">
        <v>10150</v>
      </c>
      <c r="B7234" t="s">
        <v>42</v>
      </c>
      <c r="C7234">
        <v>7648876604</v>
      </c>
      <c r="D7234" s="2">
        <v>1</v>
      </c>
      <c r="E7234" t="str">
        <f>"4574674200876019"</f>
        <v>4574674200876019</v>
      </c>
      <c r="F7234" t="str">
        <f>"721"</f>
        <v>721</v>
      </c>
      <c r="G7234">
        <v>1</v>
      </c>
      <c r="H7234">
        <v>2023</v>
      </c>
      <c r="I7234" t="s">
        <v>7349</v>
      </c>
    </row>
    <row r="7235" spans="1:9" x14ac:dyDescent="0.3">
      <c r="A7235" t="s">
        <v>10150</v>
      </c>
      <c r="B7235" t="s">
        <v>42</v>
      </c>
      <c r="C7235">
        <v>7648876604</v>
      </c>
      <c r="D7235" s="2">
        <v>1</v>
      </c>
      <c r="E7235" t="str">
        <f>"4574674200875755"</f>
        <v>4574674200875755</v>
      </c>
      <c r="F7235" t="str">
        <f>"312"</f>
        <v>312</v>
      </c>
      <c r="G7235">
        <v>1</v>
      </c>
      <c r="H7235">
        <v>2023</v>
      </c>
      <c r="I7235" t="s">
        <v>7350</v>
      </c>
    </row>
    <row r="7236" spans="1:9" x14ac:dyDescent="0.3">
      <c r="A7236" t="s">
        <v>10150</v>
      </c>
      <c r="B7236" t="s">
        <v>42</v>
      </c>
      <c r="C7236">
        <v>7648876604</v>
      </c>
      <c r="D7236" s="2">
        <v>1</v>
      </c>
      <c r="E7236" t="str">
        <f>"4574674200875763"</f>
        <v>4574674200875763</v>
      </c>
      <c r="F7236" t="str">
        <f>"803"</f>
        <v>803</v>
      </c>
      <c r="G7236">
        <v>1</v>
      </c>
      <c r="H7236">
        <v>2023</v>
      </c>
      <c r="I7236" t="s">
        <v>7351</v>
      </c>
    </row>
    <row r="7237" spans="1:9" x14ac:dyDescent="0.3">
      <c r="A7237" t="s">
        <v>10151</v>
      </c>
      <c r="B7237" t="s">
        <v>43</v>
      </c>
      <c r="C7237">
        <v>7648876604</v>
      </c>
      <c r="D7237" s="2">
        <v>1</v>
      </c>
      <c r="E7237" t="str">
        <f>"4574674200876068"</f>
        <v>4574674200876068</v>
      </c>
      <c r="F7237" t="str">
        <f>"847"</f>
        <v>847</v>
      </c>
      <c r="G7237">
        <v>1</v>
      </c>
      <c r="H7237">
        <v>2023</v>
      </c>
      <c r="I7237" t="s">
        <v>7352</v>
      </c>
    </row>
    <row r="7238" spans="1:9" x14ac:dyDescent="0.3">
      <c r="A7238" t="s">
        <v>10151</v>
      </c>
      <c r="B7238" t="s">
        <v>43</v>
      </c>
      <c r="C7238">
        <v>7648876604</v>
      </c>
      <c r="D7238" s="2">
        <v>1</v>
      </c>
      <c r="E7238" t="str">
        <f>"4574674200876084"</f>
        <v>4574674200876084</v>
      </c>
      <c r="F7238" t="str">
        <f>"017"</f>
        <v>017</v>
      </c>
      <c r="G7238">
        <v>1</v>
      </c>
      <c r="H7238">
        <v>2023</v>
      </c>
      <c r="I7238" t="s">
        <v>7353</v>
      </c>
    </row>
    <row r="7239" spans="1:9" x14ac:dyDescent="0.3">
      <c r="A7239" t="s">
        <v>10151</v>
      </c>
      <c r="B7239" t="s">
        <v>43</v>
      </c>
      <c r="C7239">
        <v>7648876604</v>
      </c>
      <c r="D7239" s="2">
        <v>1</v>
      </c>
      <c r="E7239" t="str">
        <f>"4574674200876159"</f>
        <v>4574674200876159</v>
      </c>
      <c r="F7239" t="str">
        <f>"801"</f>
        <v>801</v>
      </c>
      <c r="G7239">
        <v>1</v>
      </c>
      <c r="H7239">
        <v>2023</v>
      </c>
      <c r="I7239" t="s">
        <v>7354</v>
      </c>
    </row>
    <row r="7240" spans="1:9" x14ac:dyDescent="0.3">
      <c r="A7240" t="s">
        <v>10151</v>
      </c>
      <c r="B7240" t="s">
        <v>43</v>
      </c>
      <c r="C7240">
        <v>7648876604</v>
      </c>
      <c r="D7240" s="2">
        <v>1</v>
      </c>
      <c r="E7240" t="str">
        <f>"4574674200876175"</f>
        <v>4574674200876175</v>
      </c>
      <c r="F7240" t="str">
        <f>"892"</f>
        <v>892</v>
      </c>
      <c r="G7240">
        <v>1</v>
      </c>
      <c r="H7240">
        <v>2023</v>
      </c>
      <c r="I7240" t="s">
        <v>7355</v>
      </c>
    </row>
    <row r="7241" spans="1:9" x14ac:dyDescent="0.3">
      <c r="A7241" t="s">
        <v>10151</v>
      </c>
      <c r="B7241" t="s">
        <v>43</v>
      </c>
      <c r="C7241">
        <v>7648876604</v>
      </c>
      <c r="D7241" s="2">
        <v>1</v>
      </c>
      <c r="E7241" t="str">
        <f>"4574674200876225"</f>
        <v>4574674200876225</v>
      </c>
      <c r="F7241" t="str">
        <f>"888"</f>
        <v>888</v>
      </c>
      <c r="G7241">
        <v>1</v>
      </c>
      <c r="H7241">
        <v>2023</v>
      </c>
      <c r="I7241" t="s">
        <v>7356</v>
      </c>
    </row>
    <row r="7242" spans="1:9" x14ac:dyDescent="0.3">
      <c r="A7242" t="s">
        <v>10151</v>
      </c>
      <c r="B7242" t="s">
        <v>43</v>
      </c>
      <c r="C7242">
        <v>7648876604</v>
      </c>
      <c r="D7242" s="2">
        <v>1</v>
      </c>
      <c r="E7242" t="str">
        <f>"4574674200876282"</f>
        <v>4574674200876282</v>
      </c>
      <c r="F7242" t="str">
        <f>"393"</f>
        <v>393</v>
      </c>
      <c r="G7242">
        <v>1</v>
      </c>
      <c r="H7242">
        <v>2023</v>
      </c>
      <c r="I7242" t="s">
        <v>7357</v>
      </c>
    </row>
    <row r="7243" spans="1:9" x14ac:dyDescent="0.3">
      <c r="A7243" t="s">
        <v>10151</v>
      </c>
      <c r="B7243" t="s">
        <v>43</v>
      </c>
      <c r="C7243">
        <v>7648876604</v>
      </c>
      <c r="D7243" s="2">
        <v>1</v>
      </c>
      <c r="E7243" t="str">
        <f>"4574674200876308"</f>
        <v>4574674200876308</v>
      </c>
      <c r="F7243" t="str">
        <f>"231"</f>
        <v>231</v>
      </c>
      <c r="G7243">
        <v>1</v>
      </c>
      <c r="H7243">
        <v>2023</v>
      </c>
      <c r="I7243" t="s">
        <v>7358</v>
      </c>
    </row>
    <row r="7244" spans="1:9" x14ac:dyDescent="0.3">
      <c r="A7244" t="s">
        <v>10151</v>
      </c>
      <c r="B7244" t="s">
        <v>43</v>
      </c>
      <c r="C7244">
        <v>7648876604</v>
      </c>
      <c r="D7244" s="2">
        <v>1</v>
      </c>
      <c r="E7244" t="str">
        <f>"4574674200876514"</f>
        <v>4574674200876514</v>
      </c>
      <c r="F7244" t="str">
        <f>"501"</f>
        <v>501</v>
      </c>
      <c r="G7244">
        <v>1</v>
      </c>
      <c r="H7244">
        <v>2023</v>
      </c>
      <c r="I7244" t="s">
        <v>7359</v>
      </c>
    </row>
    <row r="7245" spans="1:9" x14ac:dyDescent="0.3">
      <c r="A7245" t="s">
        <v>10151</v>
      </c>
      <c r="B7245" t="s">
        <v>43</v>
      </c>
      <c r="C7245">
        <v>7648876604</v>
      </c>
      <c r="D7245" s="2">
        <v>1</v>
      </c>
      <c r="E7245" t="str">
        <f>"4574674200876464"</f>
        <v>4574674200876464</v>
      </c>
      <c r="F7245" t="str">
        <f>"740"</f>
        <v>740</v>
      </c>
      <c r="G7245">
        <v>1</v>
      </c>
      <c r="H7245">
        <v>2023</v>
      </c>
      <c r="I7245" t="s">
        <v>7360</v>
      </c>
    </row>
    <row r="7246" spans="1:9" x14ac:dyDescent="0.3">
      <c r="A7246" t="s">
        <v>10151</v>
      </c>
      <c r="B7246" t="s">
        <v>43</v>
      </c>
      <c r="C7246">
        <v>7648876604</v>
      </c>
      <c r="D7246" s="2">
        <v>1</v>
      </c>
      <c r="E7246" t="str">
        <f>"4574674200876431"</f>
        <v>4574674200876431</v>
      </c>
      <c r="F7246" t="str">
        <f>"070"</f>
        <v>070</v>
      </c>
      <c r="G7246">
        <v>1</v>
      </c>
      <c r="H7246">
        <v>2023</v>
      </c>
      <c r="I7246" t="s">
        <v>7361</v>
      </c>
    </row>
    <row r="7247" spans="1:9" x14ac:dyDescent="0.3">
      <c r="A7247" t="s">
        <v>10152</v>
      </c>
      <c r="B7247" t="s">
        <v>44</v>
      </c>
      <c r="C7247">
        <v>7648876604</v>
      </c>
      <c r="D7247" s="2">
        <v>1</v>
      </c>
      <c r="E7247" t="str">
        <f>"4574674200876530"</f>
        <v>4574674200876530</v>
      </c>
      <c r="F7247" t="str">
        <f>"123"</f>
        <v>123</v>
      </c>
      <c r="G7247">
        <v>1</v>
      </c>
      <c r="H7247">
        <v>2023</v>
      </c>
      <c r="I7247" t="s">
        <v>7362</v>
      </c>
    </row>
    <row r="7248" spans="1:9" x14ac:dyDescent="0.3">
      <c r="A7248" t="s">
        <v>10152</v>
      </c>
      <c r="B7248" t="s">
        <v>44</v>
      </c>
      <c r="C7248">
        <v>7648876604</v>
      </c>
      <c r="D7248" s="2">
        <v>1</v>
      </c>
      <c r="E7248" t="str">
        <f>"4574674200876324"</f>
        <v>4574674200876324</v>
      </c>
      <c r="F7248" t="str">
        <f>"289"</f>
        <v>289</v>
      </c>
      <c r="G7248">
        <v>1</v>
      </c>
      <c r="H7248">
        <v>2023</v>
      </c>
      <c r="I7248" t="s">
        <v>7363</v>
      </c>
    </row>
    <row r="7249" spans="1:9" x14ac:dyDescent="0.3">
      <c r="A7249" t="s">
        <v>10152</v>
      </c>
      <c r="B7249" t="s">
        <v>44</v>
      </c>
      <c r="C7249">
        <v>7648876604</v>
      </c>
      <c r="D7249" s="2">
        <v>1</v>
      </c>
      <c r="E7249" t="str">
        <f>"4574674200876597"</f>
        <v>4574674200876597</v>
      </c>
      <c r="F7249" t="str">
        <f>"029"</f>
        <v>029</v>
      </c>
      <c r="G7249">
        <v>1</v>
      </c>
      <c r="H7249">
        <v>2023</v>
      </c>
      <c r="I7249" t="s">
        <v>7364</v>
      </c>
    </row>
    <row r="7250" spans="1:9" x14ac:dyDescent="0.3">
      <c r="A7250" t="s">
        <v>10152</v>
      </c>
      <c r="B7250" t="s">
        <v>44</v>
      </c>
      <c r="C7250">
        <v>7648876604</v>
      </c>
      <c r="D7250" s="2">
        <v>1</v>
      </c>
      <c r="E7250" t="str">
        <f>"4574674200876589"</f>
        <v>4574674200876589</v>
      </c>
      <c r="F7250" t="str">
        <f>"505"</f>
        <v>505</v>
      </c>
      <c r="G7250">
        <v>1</v>
      </c>
      <c r="H7250">
        <v>2023</v>
      </c>
      <c r="I7250" t="s">
        <v>7365</v>
      </c>
    </row>
    <row r="7251" spans="1:9" x14ac:dyDescent="0.3">
      <c r="A7251" t="s">
        <v>10152</v>
      </c>
      <c r="B7251" t="s">
        <v>44</v>
      </c>
      <c r="C7251">
        <v>7648876604</v>
      </c>
      <c r="D7251" s="2">
        <v>1</v>
      </c>
      <c r="E7251" t="str">
        <f>"4574674200876605"</f>
        <v>4574674200876605</v>
      </c>
      <c r="F7251" t="str">
        <f>"835"</f>
        <v>835</v>
      </c>
      <c r="G7251">
        <v>1</v>
      </c>
      <c r="H7251">
        <v>2023</v>
      </c>
      <c r="I7251" t="s">
        <v>7366</v>
      </c>
    </row>
    <row r="7252" spans="1:9" x14ac:dyDescent="0.3">
      <c r="A7252" t="s">
        <v>10152</v>
      </c>
      <c r="B7252" t="s">
        <v>44</v>
      </c>
      <c r="C7252">
        <v>7648876604</v>
      </c>
      <c r="D7252" s="2">
        <v>1</v>
      </c>
      <c r="E7252" t="str">
        <f>"4574674200876381"</f>
        <v>4574674200876381</v>
      </c>
      <c r="F7252" t="str">
        <f>"155"</f>
        <v>155</v>
      </c>
      <c r="G7252">
        <v>1</v>
      </c>
      <c r="H7252">
        <v>2023</v>
      </c>
      <c r="I7252" t="s">
        <v>7367</v>
      </c>
    </row>
    <row r="7253" spans="1:9" x14ac:dyDescent="0.3">
      <c r="A7253" t="s">
        <v>10152</v>
      </c>
      <c r="B7253" t="s">
        <v>44</v>
      </c>
      <c r="C7253">
        <v>7648876604</v>
      </c>
      <c r="D7253" s="2">
        <v>1</v>
      </c>
      <c r="E7253" t="str">
        <f>"4574674200876647"</f>
        <v>4574674200876647</v>
      </c>
      <c r="F7253" t="str">
        <f>"782"</f>
        <v>782</v>
      </c>
      <c r="G7253">
        <v>1</v>
      </c>
      <c r="H7253">
        <v>2023</v>
      </c>
      <c r="I7253" t="s">
        <v>7368</v>
      </c>
    </row>
    <row r="7254" spans="1:9" x14ac:dyDescent="0.3">
      <c r="A7254" t="s">
        <v>10152</v>
      </c>
      <c r="B7254" t="s">
        <v>44</v>
      </c>
      <c r="C7254">
        <v>7648876604</v>
      </c>
      <c r="D7254" s="2">
        <v>1</v>
      </c>
      <c r="E7254" t="str">
        <f>"4574674200876829"</f>
        <v>4574674200876829</v>
      </c>
      <c r="F7254" t="str">
        <f>"217"</f>
        <v>217</v>
      </c>
      <c r="G7254">
        <v>1</v>
      </c>
      <c r="H7254">
        <v>2023</v>
      </c>
      <c r="I7254" t="s">
        <v>7369</v>
      </c>
    </row>
    <row r="7255" spans="1:9" x14ac:dyDescent="0.3">
      <c r="A7255" t="s">
        <v>10152</v>
      </c>
      <c r="B7255" t="s">
        <v>44</v>
      </c>
      <c r="C7255">
        <v>7648876604</v>
      </c>
      <c r="D7255" s="2">
        <v>1</v>
      </c>
      <c r="E7255" t="str">
        <f>"4574674200876738"</f>
        <v>4574674200876738</v>
      </c>
      <c r="F7255" t="str">
        <f>"824"</f>
        <v>824</v>
      </c>
      <c r="G7255">
        <v>1</v>
      </c>
      <c r="H7255">
        <v>2023</v>
      </c>
      <c r="I7255" t="s">
        <v>7370</v>
      </c>
    </row>
    <row r="7256" spans="1:9" x14ac:dyDescent="0.3">
      <c r="A7256" t="s">
        <v>10152</v>
      </c>
      <c r="B7256" t="s">
        <v>44</v>
      </c>
      <c r="C7256">
        <v>7648876604</v>
      </c>
      <c r="D7256" s="2">
        <v>1</v>
      </c>
      <c r="E7256" t="str">
        <f>"4574674200876746"</f>
        <v>4574674200876746</v>
      </c>
      <c r="F7256" t="str">
        <f>"674"</f>
        <v>674</v>
      </c>
      <c r="G7256">
        <v>1</v>
      </c>
      <c r="H7256">
        <v>2023</v>
      </c>
      <c r="I7256" t="s">
        <v>7371</v>
      </c>
    </row>
    <row r="7257" spans="1:9" x14ac:dyDescent="0.3">
      <c r="A7257" t="s">
        <v>10153</v>
      </c>
      <c r="B7257" t="s">
        <v>45</v>
      </c>
      <c r="C7257">
        <v>7648876604</v>
      </c>
      <c r="D7257" s="2">
        <v>1</v>
      </c>
      <c r="E7257" t="str">
        <f>"4574674200876753"</f>
        <v>4574674200876753</v>
      </c>
      <c r="F7257" t="str">
        <f>"564"</f>
        <v>564</v>
      </c>
      <c r="G7257">
        <v>1</v>
      </c>
      <c r="H7257">
        <v>2023</v>
      </c>
      <c r="I7257" t="s">
        <v>7372</v>
      </c>
    </row>
    <row r="7258" spans="1:9" x14ac:dyDescent="0.3">
      <c r="A7258" t="s">
        <v>10153</v>
      </c>
      <c r="B7258" t="s">
        <v>45</v>
      </c>
      <c r="C7258">
        <v>7648876604</v>
      </c>
      <c r="D7258" s="2">
        <v>1</v>
      </c>
      <c r="E7258" t="str">
        <f>"4574674200876886"</f>
        <v>4574674200876886</v>
      </c>
      <c r="F7258" t="str">
        <f>"169"</f>
        <v>169</v>
      </c>
      <c r="G7258">
        <v>1</v>
      </c>
      <c r="H7258">
        <v>2023</v>
      </c>
      <c r="I7258" t="s">
        <v>7373</v>
      </c>
    </row>
    <row r="7259" spans="1:9" x14ac:dyDescent="0.3">
      <c r="A7259" t="s">
        <v>10153</v>
      </c>
      <c r="B7259" t="s">
        <v>45</v>
      </c>
      <c r="C7259">
        <v>7648876604</v>
      </c>
      <c r="D7259" s="2">
        <v>1</v>
      </c>
      <c r="E7259" t="str">
        <f>"4574674200877009"</f>
        <v>4574674200877009</v>
      </c>
      <c r="F7259" t="str">
        <f>"414"</f>
        <v>414</v>
      </c>
      <c r="G7259">
        <v>1</v>
      </c>
      <c r="H7259">
        <v>2023</v>
      </c>
      <c r="I7259" t="s">
        <v>7374</v>
      </c>
    </row>
    <row r="7260" spans="1:9" x14ac:dyDescent="0.3">
      <c r="A7260" t="s">
        <v>10153</v>
      </c>
      <c r="B7260" t="s">
        <v>45</v>
      </c>
      <c r="C7260">
        <v>7648876604</v>
      </c>
      <c r="D7260" s="2">
        <v>1</v>
      </c>
      <c r="E7260" t="str">
        <f>"4574674200877082"</f>
        <v>4574674200877082</v>
      </c>
      <c r="F7260" t="str">
        <f>"040"</f>
        <v>040</v>
      </c>
      <c r="G7260">
        <v>1</v>
      </c>
      <c r="H7260">
        <v>2023</v>
      </c>
      <c r="I7260" t="s">
        <v>7375</v>
      </c>
    </row>
    <row r="7261" spans="1:9" x14ac:dyDescent="0.3">
      <c r="A7261" t="s">
        <v>10153</v>
      </c>
      <c r="B7261" t="s">
        <v>45</v>
      </c>
      <c r="C7261">
        <v>7648876604</v>
      </c>
      <c r="D7261" s="2">
        <v>1</v>
      </c>
      <c r="E7261" t="str">
        <f>"4574674200877108"</f>
        <v>4574674200877108</v>
      </c>
      <c r="F7261" t="str">
        <f>"471"</f>
        <v>471</v>
      </c>
      <c r="G7261">
        <v>1</v>
      </c>
      <c r="H7261">
        <v>2023</v>
      </c>
      <c r="I7261" t="s">
        <v>7376</v>
      </c>
    </row>
    <row r="7262" spans="1:9" x14ac:dyDescent="0.3">
      <c r="A7262" t="s">
        <v>10153</v>
      </c>
      <c r="B7262" t="s">
        <v>45</v>
      </c>
      <c r="C7262">
        <v>7648876604</v>
      </c>
      <c r="D7262" s="2">
        <v>1</v>
      </c>
      <c r="E7262" t="str">
        <f>"4574674200877116"</f>
        <v>4574674200877116</v>
      </c>
      <c r="F7262" t="str">
        <f>"964"</f>
        <v>964</v>
      </c>
      <c r="G7262">
        <v>1</v>
      </c>
      <c r="H7262">
        <v>2023</v>
      </c>
      <c r="I7262" t="s">
        <v>7377</v>
      </c>
    </row>
    <row r="7263" spans="1:9" x14ac:dyDescent="0.3">
      <c r="A7263" t="s">
        <v>10153</v>
      </c>
      <c r="B7263" t="s">
        <v>45</v>
      </c>
      <c r="C7263">
        <v>7648876604</v>
      </c>
      <c r="D7263" s="2">
        <v>1</v>
      </c>
      <c r="E7263" t="str">
        <f>"4574674200877165"</f>
        <v>4574674200877165</v>
      </c>
      <c r="F7263" t="str">
        <f>"480"</f>
        <v>480</v>
      </c>
      <c r="G7263">
        <v>1</v>
      </c>
      <c r="H7263">
        <v>2023</v>
      </c>
      <c r="I7263" t="s">
        <v>7378</v>
      </c>
    </row>
    <row r="7264" spans="1:9" x14ac:dyDescent="0.3">
      <c r="A7264" t="s">
        <v>10153</v>
      </c>
      <c r="B7264" t="s">
        <v>45</v>
      </c>
      <c r="C7264">
        <v>7648876604</v>
      </c>
      <c r="D7264" s="2">
        <v>1</v>
      </c>
      <c r="E7264" t="str">
        <f>"4574674200877207"</f>
        <v>4574674200877207</v>
      </c>
      <c r="F7264" t="str">
        <f>"570"</f>
        <v>570</v>
      </c>
      <c r="G7264">
        <v>1</v>
      </c>
      <c r="H7264">
        <v>2023</v>
      </c>
      <c r="I7264" t="s">
        <v>7379</v>
      </c>
    </row>
    <row r="7265" spans="1:9" x14ac:dyDescent="0.3">
      <c r="A7265" t="s">
        <v>10153</v>
      </c>
      <c r="B7265" t="s">
        <v>45</v>
      </c>
      <c r="C7265">
        <v>7648876604</v>
      </c>
      <c r="D7265" s="2">
        <v>1</v>
      </c>
      <c r="E7265" t="str">
        <f>"4574674200877405"</f>
        <v>4574674200877405</v>
      </c>
      <c r="F7265" t="str">
        <f>"952"</f>
        <v>952</v>
      </c>
      <c r="G7265">
        <v>1</v>
      </c>
      <c r="H7265">
        <v>2023</v>
      </c>
      <c r="I7265" t="s">
        <v>7380</v>
      </c>
    </row>
    <row r="7266" spans="1:9" x14ac:dyDescent="0.3">
      <c r="A7266" t="s">
        <v>10153</v>
      </c>
      <c r="B7266" t="s">
        <v>45</v>
      </c>
      <c r="C7266">
        <v>7648876604</v>
      </c>
      <c r="D7266" s="2">
        <v>1</v>
      </c>
      <c r="E7266" t="str">
        <f>"4574674200877215"</f>
        <v>4574674200877215</v>
      </c>
      <c r="F7266" t="str">
        <f>"063"</f>
        <v>063</v>
      </c>
      <c r="G7266">
        <v>1</v>
      </c>
      <c r="H7266">
        <v>2023</v>
      </c>
      <c r="I7266" t="s">
        <v>7381</v>
      </c>
    </row>
    <row r="7267" spans="1:9" x14ac:dyDescent="0.3">
      <c r="A7267" t="s">
        <v>10142</v>
      </c>
      <c r="B7267" t="s">
        <v>34</v>
      </c>
      <c r="C7267">
        <v>7648876604</v>
      </c>
      <c r="D7267" s="2">
        <v>1</v>
      </c>
      <c r="E7267" t="str">
        <f>"4574674200877454"</f>
        <v>4574674200877454</v>
      </c>
      <c r="F7267" t="str">
        <f>"620"</f>
        <v>620</v>
      </c>
      <c r="G7267">
        <v>1</v>
      </c>
      <c r="H7267">
        <v>2023</v>
      </c>
      <c r="I7267" t="s">
        <v>7382</v>
      </c>
    </row>
    <row r="7268" spans="1:9" x14ac:dyDescent="0.3">
      <c r="A7268" t="s">
        <v>10142</v>
      </c>
      <c r="B7268" t="s">
        <v>34</v>
      </c>
      <c r="C7268">
        <v>7648876604</v>
      </c>
      <c r="D7268" s="2">
        <v>1</v>
      </c>
      <c r="E7268" t="str">
        <f>"4574674200877470"</f>
        <v>4574674200877470</v>
      </c>
      <c r="F7268" t="str">
        <f>"876"</f>
        <v>876</v>
      </c>
      <c r="G7268">
        <v>1</v>
      </c>
      <c r="H7268">
        <v>2023</v>
      </c>
      <c r="I7268" t="s">
        <v>7383</v>
      </c>
    </row>
    <row r="7269" spans="1:9" x14ac:dyDescent="0.3">
      <c r="A7269" t="s">
        <v>10142</v>
      </c>
      <c r="B7269" t="s">
        <v>34</v>
      </c>
      <c r="C7269">
        <v>7648876604</v>
      </c>
      <c r="D7269" s="2">
        <v>1</v>
      </c>
      <c r="E7269" t="str">
        <f>"4574674200877496"</f>
        <v>4574674200877496</v>
      </c>
      <c r="F7269" t="str">
        <f>"917"</f>
        <v>917</v>
      </c>
      <c r="G7269">
        <v>1</v>
      </c>
      <c r="H7269">
        <v>2023</v>
      </c>
      <c r="I7269" t="s">
        <v>7384</v>
      </c>
    </row>
    <row r="7270" spans="1:9" x14ac:dyDescent="0.3">
      <c r="A7270" t="s">
        <v>10142</v>
      </c>
      <c r="B7270" t="s">
        <v>34</v>
      </c>
      <c r="C7270">
        <v>7648876604</v>
      </c>
      <c r="D7270" s="2">
        <v>1</v>
      </c>
      <c r="E7270" t="str">
        <f>"4574674200877298"</f>
        <v>4574674200877298</v>
      </c>
      <c r="F7270" t="str">
        <f>"558"</f>
        <v>558</v>
      </c>
      <c r="G7270">
        <v>1</v>
      </c>
      <c r="H7270">
        <v>2023</v>
      </c>
      <c r="I7270" t="s">
        <v>7385</v>
      </c>
    </row>
    <row r="7271" spans="1:9" x14ac:dyDescent="0.3">
      <c r="A7271" t="s">
        <v>10142</v>
      </c>
      <c r="B7271" t="s">
        <v>34</v>
      </c>
      <c r="C7271">
        <v>7648876604</v>
      </c>
      <c r="D7271" s="2">
        <v>1</v>
      </c>
      <c r="E7271" t="str">
        <f>"4574674200877561"</f>
        <v>4574674200877561</v>
      </c>
      <c r="F7271" t="str">
        <f>"705"</f>
        <v>705</v>
      </c>
      <c r="G7271">
        <v>1</v>
      </c>
      <c r="H7271">
        <v>2023</v>
      </c>
      <c r="I7271" t="s">
        <v>7386</v>
      </c>
    </row>
    <row r="7272" spans="1:9" x14ac:dyDescent="0.3">
      <c r="A7272" t="s">
        <v>10142</v>
      </c>
      <c r="B7272" t="s">
        <v>34</v>
      </c>
      <c r="C7272">
        <v>7648876604</v>
      </c>
      <c r="D7272" s="2">
        <v>1</v>
      </c>
      <c r="E7272" t="str">
        <f>"4574674200877611"</f>
        <v>4574674200877611</v>
      </c>
      <c r="F7272" t="str">
        <f>"831"</f>
        <v>831</v>
      </c>
      <c r="G7272">
        <v>1</v>
      </c>
      <c r="H7272">
        <v>2023</v>
      </c>
      <c r="I7272" t="s">
        <v>7387</v>
      </c>
    </row>
    <row r="7273" spans="1:9" x14ac:dyDescent="0.3">
      <c r="A7273" t="s">
        <v>10142</v>
      </c>
      <c r="B7273" t="s">
        <v>34</v>
      </c>
      <c r="C7273">
        <v>7648876604</v>
      </c>
      <c r="D7273" s="2">
        <v>1</v>
      </c>
      <c r="E7273" t="str">
        <f>"4574674200877322"</f>
        <v>4574674200877322</v>
      </c>
      <c r="F7273" t="str">
        <f>"833"</f>
        <v>833</v>
      </c>
      <c r="G7273">
        <v>1</v>
      </c>
      <c r="H7273">
        <v>2023</v>
      </c>
      <c r="I7273" t="s">
        <v>7388</v>
      </c>
    </row>
    <row r="7274" spans="1:9" x14ac:dyDescent="0.3">
      <c r="A7274" t="s">
        <v>10142</v>
      </c>
      <c r="B7274" t="s">
        <v>34</v>
      </c>
      <c r="C7274">
        <v>7648876604</v>
      </c>
      <c r="D7274" s="2">
        <v>1</v>
      </c>
      <c r="E7274" t="str">
        <f>"4574674200877330"</f>
        <v>4574674200877330</v>
      </c>
      <c r="F7274" t="str">
        <f>"882"</f>
        <v>882</v>
      </c>
      <c r="G7274">
        <v>1</v>
      </c>
      <c r="H7274">
        <v>2023</v>
      </c>
      <c r="I7274" t="s">
        <v>7389</v>
      </c>
    </row>
    <row r="7275" spans="1:9" x14ac:dyDescent="0.3">
      <c r="A7275" t="s">
        <v>10142</v>
      </c>
      <c r="B7275" t="s">
        <v>34</v>
      </c>
      <c r="C7275">
        <v>7648876604</v>
      </c>
      <c r="D7275" s="2">
        <v>1</v>
      </c>
      <c r="E7275" t="str">
        <f>"4574674200877694"</f>
        <v>4574674200877694</v>
      </c>
      <c r="F7275" t="str">
        <f>"644"</f>
        <v>644</v>
      </c>
      <c r="G7275">
        <v>1</v>
      </c>
      <c r="H7275">
        <v>2023</v>
      </c>
      <c r="I7275" t="s">
        <v>7390</v>
      </c>
    </row>
    <row r="7276" spans="1:9" x14ac:dyDescent="0.3">
      <c r="A7276" t="s">
        <v>10142</v>
      </c>
      <c r="B7276" t="s">
        <v>34</v>
      </c>
      <c r="C7276">
        <v>7648876604</v>
      </c>
      <c r="D7276" s="2">
        <v>1</v>
      </c>
      <c r="E7276" t="str">
        <f>"4574674200877710"</f>
        <v>4574674200877710</v>
      </c>
      <c r="F7276" t="str">
        <f>"539"</f>
        <v>539</v>
      </c>
      <c r="G7276">
        <v>1</v>
      </c>
      <c r="H7276">
        <v>2023</v>
      </c>
      <c r="I7276" t="s">
        <v>7391</v>
      </c>
    </row>
    <row r="7277" spans="1:9" x14ac:dyDescent="0.3">
      <c r="A7277" t="s">
        <v>10154</v>
      </c>
      <c r="B7277" t="s">
        <v>46</v>
      </c>
      <c r="C7277">
        <v>7648876604</v>
      </c>
      <c r="D7277" s="2">
        <v>1</v>
      </c>
      <c r="E7277" t="str">
        <f>"4574674200877819"</f>
        <v>4574674200877819</v>
      </c>
      <c r="F7277" t="str">
        <f>"024"</f>
        <v>024</v>
      </c>
      <c r="G7277">
        <v>1</v>
      </c>
      <c r="H7277">
        <v>2023</v>
      </c>
      <c r="I7277" t="s">
        <v>7392</v>
      </c>
    </row>
    <row r="7278" spans="1:9" x14ac:dyDescent="0.3">
      <c r="A7278" t="s">
        <v>10154</v>
      </c>
      <c r="B7278" t="s">
        <v>46</v>
      </c>
      <c r="C7278">
        <v>7648876604</v>
      </c>
      <c r="D7278" s="2">
        <v>1</v>
      </c>
      <c r="E7278" t="str">
        <f>"4574674200877793"</f>
        <v>4574674200877793</v>
      </c>
      <c r="F7278" t="str">
        <f>"023"</f>
        <v>023</v>
      </c>
      <c r="G7278">
        <v>1</v>
      </c>
      <c r="H7278">
        <v>2023</v>
      </c>
      <c r="I7278" t="s">
        <v>7393</v>
      </c>
    </row>
    <row r="7279" spans="1:9" x14ac:dyDescent="0.3">
      <c r="A7279" t="s">
        <v>10154</v>
      </c>
      <c r="B7279" t="s">
        <v>46</v>
      </c>
      <c r="C7279">
        <v>7648876604</v>
      </c>
      <c r="D7279" s="2">
        <v>1</v>
      </c>
      <c r="E7279" t="str">
        <f>"4574674200877769"</f>
        <v>4574674200877769</v>
      </c>
      <c r="F7279" t="str">
        <f>"914"</f>
        <v>914</v>
      </c>
      <c r="G7279">
        <v>1</v>
      </c>
      <c r="H7279">
        <v>2023</v>
      </c>
      <c r="I7279" t="s">
        <v>7394</v>
      </c>
    </row>
    <row r="7280" spans="1:9" x14ac:dyDescent="0.3">
      <c r="A7280" t="s">
        <v>10154</v>
      </c>
      <c r="B7280" t="s">
        <v>46</v>
      </c>
      <c r="C7280">
        <v>7648876604</v>
      </c>
      <c r="D7280" s="2">
        <v>1</v>
      </c>
      <c r="E7280" t="str">
        <f>"4574674200878049"</f>
        <v>4574674200878049</v>
      </c>
      <c r="F7280" t="str">
        <f>"838"</f>
        <v>838</v>
      </c>
      <c r="G7280">
        <v>1</v>
      </c>
      <c r="H7280">
        <v>2023</v>
      </c>
      <c r="I7280" t="s">
        <v>7395</v>
      </c>
    </row>
    <row r="7281" spans="1:9" x14ac:dyDescent="0.3">
      <c r="A7281" t="s">
        <v>10154</v>
      </c>
      <c r="B7281" t="s">
        <v>46</v>
      </c>
      <c r="C7281">
        <v>7648876604</v>
      </c>
      <c r="D7281" s="2">
        <v>1</v>
      </c>
      <c r="E7281" t="str">
        <f>"4574674200878064"</f>
        <v>4574674200878064</v>
      </c>
      <c r="F7281" t="str">
        <f>"192"</f>
        <v>192</v>
      </c>
      <c r="G7281">
        <v>1</v>
      </c>
      <c r="H7281">
        <v>2023</v>
      </c>
      <c r="I7281" t="s">
        <v>7396</v>
      </c>
    </row>
    <row r="7282" spans="1:9" x14ac:dyDescent="0.3">
      <c r="A7282" t="s">
        <v>10154</v>
      </c>
      <c r="B7282" t="s">
        <v>46</v>
      </c>
      <c r="C7282">
        <v>7648876604</v>
      </c>
      <c r="D7282" s="2">
        <v>1</v>
      </c>
      <c r="E7282" t="str">
        <f>"4574674200878114"</f>
        <v>4574674200878114</v>
      </c>
      <c r="F7282" t="str">
        <f>"511"</f>
        <v>511</v>
      </c>
      <c r="G7282">
        <v>1</v>
      </c>
      <c r="H7282">
        <v>2023</v>
      </c>
      <c r="I7282" t="s">
        <v>7397</v>
      </c>
    </row>
    <row r="7283" spans="1:9" x14ac:dyDescent="0.3">
      <c r="A7283" t="s">
        <v>10154</v>
      </c>
      <c r="B7283" t="s">
        <v>46</v>
      </c>
      <c r="C7283">
        <v>7648876604</v>
      </c>
      <c r="D7283" s="2">
        <v>1</v>
      </c>
      <c r="E7283" t="str">
        <f>"4574674200878155"</f>
        <v>4574674200878155</v>
      </c>
      <c r="F7283" t="str">
        <f>"508"</f>
        <v>508</v>
      </c>
      <c r="G7283">
        <v>1</v>
      </c>
      <c r="H7283">
        <v>2023</v>
      </c>
      <c r="I7283" t="s">
        <v>7398</v>
      </c>
    </row>
    <row r="7284" spans="1:9" x14ac:dyDescent="0.3">
      <c r="A7284" t="s">
        <v>10154</v>
      </c>
      <c r="B7284" t="s">
        <v>46</v>
      </c>
      <c r="C7284">
        <v>7648876604</v>
      </c>
      <c r="D7284" s="2">
        <v>1</v>
      </c>
      <c r="E7284" t="str">
        <f>"4574674200877843"</f>
        <v>4574674200877843</v>
      </c>
      <c r="F7284" t="str">
        <f>"427"</f>
        <v>427</v>
      </c>
      <c r="G7284">
        <v>1</v>
      </c>
      <c r="H7284">
        <v>2023</v>
      </c>
      <c r="I7284" t="s">
        <v>7399</v>
      </c>
    </row>
    <row r="7285" spans="1:9" x14ac:dyDescent="0.3">
      <c r="A7285" t="s">
        <v>10154</v>
      </c>
      <c r="B7285" t="s">
        <v>46</v>
      </c>
      <c r="C7285">
        <v>7648876604</v>
      </c>
      <c r="D7285" s="2">
        <v>1</v>
      </c>
      <c r="E7285" t="str">
        <f>"4574674200877850"</f>
        <v>4574674200877850</v>
      </c>
      <c r="F7285" t="str">
        <f>"563"</f>
        <v>563</v>
      </c>
      <c r="G7285">
        <v>1</v>
      </c>
      <c r="H7285">
        <v>2023</v>
      </c>
      <c r="I7285" t="s">
        <v>7400</v>
      </c>
    </row>
    <row r="7286" spans="1:9" x14ac:dyDescent="0.3">
      <c r="A7286" t="s">
        <v>10154</v>
      </c>
      <c r="B7286" t="s">
        <v>46</v>
      </c>
      <c r="C7286">
        <v>7648876604</v>
      </c>
      <c r="D7286" s="2">
        <v>1</v>
      </c>
      <c r="E7286" t="str">
        <f>"4574674200878197"</f>
        <v>4574674200878197</v>
      </c>
      <c r="F7286" t="str">
        <f>"644"</f>
        <v>644</v>
      </c>
      <c r="G7286">
        <v>1</v>
      </c>
      <c r="H7286">
        <v>2023</v>
      </c>
      <c r="I7286" t="s">
        <v>7401</v>
      </c>
    </row>
    <row r="7287" spans="1:9" x14ac:dyDescent="0.3">
      <c r="A7287" t="s">
        <v>10155</v>
      </c>
      <c r="B7287" t="s">
        <v>47</v>
      </c>
      <c r="C7287">
        <v>7648876604</v>
      </c>
      <c r="D7287" s="2">
        <v>1</v>
      </c>
      <c r="E7287" t="str">
        <f>"4574674200878205"</f>
        <v>4574674200878205</v>
      </c>
      <c r="F7287" t="str">
        <f>"635"</f>
        <v>635</v>
      </c>
      <c r="G7287">
        <v>1</v>
      </c>
      <c r="H7287">
        <v>2023</v>
      </c>
      <c r="I7287" t="s">
        <v>7402</v>
      </c>
    </row>
    <row r="7288" spans="1:9" x14ac:dyDescent="0.3">
      <c r="A7288" t="s">
        <v>10155</v>
      </c>
      <c r="B7288" t="s">
        <v>47</v>
      </c>
      <c r="C7288">
        <v>7648876604</v>
      </c>
      <c r="D7288" s="2">
        <v>1</v>
      </c>
      <c r="E7288" t="str">
        <f>"4574674200877926"</f>
        <v>4574674200877926</v>
      </c>
      <c r="F7288" t="str">
        <f>"588"</f>
        <v>588</v>
      </c>
      <c r="G7288">
        <v>1</v>
      </c>
      <c r="H7288">
        <v>2023</v>
      </c>
      <c r="I7288" t="s">
        <v>7403</v>
      </c>
    </row>
    <row r="7289" spans="1:9" x14ac:dyDescent="0.3">
      <c r="A7289" t="s">
        <v>10155</v>
      </c>
      <c r="B7289" t="s">
        <v>47</v>
      </c>
      <c r="C7289">
        <v>7648876604</v>
      </c>
      <c r="D7289" s="2">
        <v>1</v>
      </c>
      <c r="E7289" t="str">
        <f>"4574674200878270"</f>
        <v>4574674200878270</v>
      </c>
      <c r="F7289" t="str">
        <f>"173"</f>
        <v>173</v>
      </c>
      <c r="G7289">
        <v>1</v>
      </c>
      <c r="H7289">
        <v>2023</v>
      </c>
      <c r="I7289" t="s">
        <v>7404</v>
      </c>
    </row>
    <row r="7290" spans="1:9" x14ac:dyDescent="0.3">
      <c r="A7290" t="s">
        <v>10155</v>
      </c>
      <c r="B7290" t="s">
        <v>47</v>
      </c>
      <c r="C7290">
        <v>7648876604</v>
      </c>
      <c r="D7290" s="2">
        <v>1</v>
      </c>
      <c r="E7290" t="str">
        <f>"4574674200878288"</f>
        <v>4574674200878288</v>
      </c>
      <c r="F7290" t="str">
        <f>"752"</f>
        <v>752</v>
      </c>
      <c r="G7290">
        <v>1</v>
      </c>
      <c r="H7290">
        <v>2023</v>
      </c>
      <c r="I7290" t="s">
        <v>7405</v>
      </c>
    </row>
    <row r="7291" spans="1:9" x14ac:dyDescent="0.3">
      <c r="A7291" t="s">
        <v>10155</v>
      </c>
      <c r="B7291" t="s">
        <v>47</v>
      </c>
      <c r="C7291">
        <v>7648876604</v>
      </c>
      <c r="D7291" s="2">
        <v>1</v>
      </c>
      <c r="E7291" t="str">
        <f>"4574674200878353"</f>
        <v>4574674200878353</v>
      </c>
      <c r="F7291" t="str">
        <f>"410"</f>
        <v>410</v>
      </c>
      <c r="G7291">
        <v>1</v>
      </c>
      <c r="H7291">
        <v>2023</v>
      </c>
      <c r="I7291" t="s">
        <v>7406</v>
      </c>
    </row>
    <row r="7292" spans="1:9" x14ac:dyDescent="0.3">
      <c r="A7292" t="s">
        <v>10155</v>
      </c>
      <c r="B7292" t="s">
        <v>47</v>
      </c>
      <c r="C7292">
        <v>7648876604</v>
      </c>
      <c r="D7292" s="2">
        <v>1</v>
      </c>
      <c r="E7292" t="str">
        <f>"4574674200878379"</f>
        <v>4574674200878379</v>
      </c>
      <c r="F7292" t="str">
        <f>"607"</f>
        <v>607</v>
      </c>
      <c r="G7292">
        <v>1</v>
      </c>
      <c r="H7292">
        <v>2023</v>
      </c>
      <c r="I7292" t="s">
        <v>7407</v>
      </c>
    </row>
    <row r="7293" spans="1:9" x14ac:dyDescent="0.3">
      <c r="A7293" t="s">
        <v>10155</v>
      </c>
      <c r="B7293" t="s">
        <v>47</v>
      </c>
      <c r="C7293">
        <v>7648876604</v>
      </c>
      <c r="D7293" s="2">
        <v>1</v>
      </c>
      <c r="E7293" t="str">
        <f>"4574674200877967"</f>
        <v>4574674200877967</v>
      </c>
      <c r="F7293" t="str">
        <f>"496"</f>
        <v>496</v>
      </c>
      <c r="G7293">
        <v>1</v>
      </c>
      <c r="H7293">
        <v>2023</v>
      </c>
      <c r="I7293" t="s">
        <v>7408</v>
      </c>
    </row>
    <row r="7294" spans="1:9" x14ac:dyDescent="0.3">
      <c r="A7294" t="s">
        <v>10155</v>
      </c>
      <c r="B7294" t="s">
        <v>47</v>
      </c>
      <c r="C7294">
        <v>7648876604</v>
      </c>
      <c r="D7294" s="2">
        <v>1</v>
      </c>
      <c r="E7294" t="str">
        <f>"4574674200877983"</f>
        <v>4574674200877983</v>
      </c>
      <c r="F7294" t="str">
        <f>"147"</f>
        <v>147</v>
      </c>
      <c r="G7294">
        <v>1</v>
      </c>
      <c r="H7294">
        <v>2023</v>
      </c>
      <c r="I7294" t="s">
        <v>7409</v>
      </c>
    </row>
    <row r="7295" spans="1:9" x14ac:dyDescent="0.3">
      <c r="A7295" t="s">
        <v>10155</v>
      </c>
      <c r="B7295" t="s">
        <v>47</v>
      </c>
      <c r="C7295">
        <v>7648876604</v>
      </c>
      <c r="D7295" s="2">
        <v>1</v>
      </c>
      <c r="E7295" t="str">
        <f>"4574674200878437"</f>
        <v>4574674200878437</v>
      </c>
      <c r="F7295" t="str">
        <f>"505"</f>
        <v>505</v>
      </c>
      <c r="G7295">
        <v>1</v>
      </c>
      <c r="H7295">
        <v>2023</v>
      </c>
      <c r="I7295" t="s">
        <v>7410</v>
      </c>
    </row>
    <row r="7296" spans="1:9" x14ac:dyDescent="0.3">
      <c r="A7296" t="s">
        <v>10155</v>
      </c>
      <c r="B7296" t="s">
        <v>47</v>
      </c>
      <c r="C7296">
        <v>7648876604</v>
      </c>
      <c r="D7296" s="2">
        <v>1</v>
      </c>
      <c r="E7296" t="str">
        <f>"4574674200878494"</f>
        <v>4574674200878494</v>
      </c>
      <c r="F7296" t="str">
        <f>"589"</f>
        <v>589</v>
      </c>
      <c r="G7296">
        <v>1</v>
      </c>
      <c r="H7296">
        <v>2023</v>
      </c>
      <c r="I7296" t="s">
        <v>7411</v>
      </c>
    </row>
    <row r="7297" spans="1:9" x14ac:dyDescent="0.3">
      <c r="A7297" t="s">
        <v>10156</v>
      </c>
      <c r="B7297" t="s">
        <v>48</v>
      </c>
      <c r="C7297">
        <v>7648876604</v>
      </c>
      <c r="D7297" s="2">
        <v>1</v>
      </c>
      <c r="E7297" t="str">
        <f>"4574674200878627"</f>
        <v>4574674200878627</v>
      </c>
      <c r="F7297" t="str">
        <f>"142"</f>
        <v>142</v>
      </c>
      <c r="G7297">
        <v>1</v>
      </c>
      <c r="H7297">
        <v>2023</v>
      </c>
      <c r="I7297" t="s">
        <v>7412</v>
      </c>
    </row>
    <row r="7298" spans="1:9" x14ac:dyDescent="0.3">
      <c r="A7298" t="s">
        <v>10156</v>
      </c>
      <c r="B7298" t="s">
        <v>48</v>
      </c>
      <c r="C7298">
        <v>7648876604</v>
      </c>
      <c r="D7298" s="2">
        <v>1</v>
      </c>
      <c r="E7298" t="str">
        <f>"4574674200878536"</f>
        <v>4574674200878536</v>
      </c>
      <c r="F7298" t="str">
        <f>"576"</f>
        <v>576</v>
      </c>
      <c r="G7298">
        <v>1</v>
      </c>
      <c r="H7298">
        <v>2023</v>
      </c>
      <c r="I7298" t="s">
        <v>7413</v>
      </c>
    </row>
    <row r="7299" spans="1:9" x14ac:dyDescent="0.3">
      <c r="A7299" t="s">
        <v>10156</v>
      </c>
      <c r="B7299" t="s">
        <v>48</v>
      </c>
      <c r="C7299">
        <v>7648876604</v>
      </c>
      <c r="D7299" s="2">
        <v>1</v>
      </c>
      <c r="E7299" t="str">
        <f>"4574674200878510"</f>
        <v>4574674200878510</v>
      </c>
      <c r="F7299" t="str">
        <f>"858"</f>
        <v>858</v>
      </c>
      <c r="G7299">
        <v>1</v>
      </c>
      <c r="H7299">
        <v>2023</v>
      </c>
      <c r="I7299" t="s">
        <v>7414</v>
      </c>
    </row>
    <row r="7300" spans="1:9" x14ac:dyDescent="0.3">
      <c r="A7300" t="s">
        <v>10156</v>
      </c>
      <c r="B7300" t="s">
        <v>48</v>
      </c>
      <c r="C7300">
        <v>7648876604</v>
      </c>
      <c r="D7300" s="2">
        <v>1</v>
      </c>
      <c r="E7300" t="str">
        <f>"4574674200878593"</f>
        <v>4574674200878593</v>
      </c>
      <c r="F7300" t="str">
        <f>"127"</f>
        <v>127</v>
      </c>
      <c r="G7300">
        <v>1</v>
      </c>
      <c r="H7300">
        <v>2023</v>
      </c>
      <c r="I7300" t="s">
        <v>7415</v>
      </c>
    </row>
    <row r="7301" spans="1:9" x14ac:dyDescent="0.3">
      <c r="A7301" t="s">
        <v>10156</v>
      </c>
      <c r="B7301" t="s">
        <v>48</v>
      </c>
      <c r="C7301">
        <v>7648876604</v>
      </c>
      <c r="D7301" s="2">
        <v>1</v>
      </c>
      <c r="E7301" t="str">
        <f>"4574674200878692"</f>
        <v>4574674200878692</v>
      </c>
      <c r="F7301" t="str">
        <f>"716"</f>
        <v>716</v>
      </c>
      <c r="G7301">
        <v>1</v>
      </c>
      <c r="H7301">
        <v>2023</v>
      </c>
      <c r="I7301" t="s">
        <v>7416</v>
      </c>
    </row>
    <row r="7302" spans="1:9" x14ac:dyDescent="0.3">
      <c r="A7302" t="s">
        <v>10156</v>
      </c>
      <c r="B7302" t="s">
        <v>48</v>
      </c>
      <c r="C7302">
        <v>7648876604</v>
      </c>
      <c r="D7302" s="2">
        <v>1</v>
      </c>
      <c r="E7302" t="str">
        <f>"4574674200878700"</f>
        <v>4574674200878700</v>
      </c>
      <c r="F7302" t="str">
        <f>"300"</f>
        <v>300</v>
      </c>
      <c r="G7302">
        <v>1</v>
      </c>
      <c r="H7302">
        <v>2023</v>
      </c>
      <c r="I7302" t="s">
        <v>7417</v>
      </c>
    </row>
    <row r="7303" spans="1:9" x14ac:dyDescent="0.3">
      <c r="A7303" t="s">
        <v>10156</v>
      </c>
      <c r="B7303" t="s">
        <v>48</v>
      </c>
      <c r="C7303">
        <v>7648876604</v>
      </c>
      <c r="D7303" s="2">
        <v>1</v>
      </c>
      <c r="E7303" t="str">
        <f>"4574674200878858"</f>
        <v>4574674200878858</v>
      </c>
      <c r="F7303" t="str">
        <f>"361"</f>
        <v>361</v>
      </c>
      <c r="G7303">
        <v>1</v>
      </c>
      <c r="H7303">
        <v>2023</v>
      </c>
      <c r="I7303" t="s">
        <v>7418</v>
      </c>
    </row>
    <row r="7304" spans="1:9" x14ac:dyDescent="0.3">
      <c r="A7304" t="s">
        <v>10156</v>
      </c>
      <c r="B7304" t="s">
        <v>48</v>
      </c>
      <c r="C7304">
        <v>7648876604</v>
      </c>
      <c r="D7304" s="2">
        <v>1</v>
      </c>
      <c r="E7304" t="str">
        <f>"4574674200878890"</f>
        <v>4574674200878890</v>
      </c>
      <c r="F7304" t="str">
        <f>"181"</f>
        <v>181</v>
      </c>
      <c r="G7304">
        <v>1</v>
      </c>
      <c r="H7304">
        <v>2023</v>
      </c>
      <c r="I7304" t="s">
        <v>7419</v>
      </c>
    </row>
    <row r="7305" spans="1:9" x14ac:dyDescent="0.3">
      <c r="A7305" t="s">
        <v>10156</v>
      </c>
      <c r="B7305" t="s">
        <v>48</v>
      </c>
      <c r="C7305">
        <v>7648876604</v>
      </c>
      <c r="D7305" s="2">
        <v>1</v>
      </c>
      <c r="E7305" t="str">
        <f>"4574674200878940"</f>
        <v>4574674200878940</v>
      </c>
      <c r="F7305" t="str">
        <f>"641"</f>
        <v>641</v>
      </c>
      <c r="G7305">
        <v>1</v>
      </c>
      <c r="H7305">
        <v>2023</v>
      </c>
      <c r="I7305" t="s">
        <v>7420</v>
      </c>
    </row>
    <row r="7306" spans="1:9" x14ac:dyDescent="0.3">
      <c r="A7306" t="s">
        <v>10156</v>
      </c>
      <c r="B7306" t="s">
        <v>48</v>
      </c>
      <c r="C7306">
        <v>7648876604</v>
      </c>
      <c r="D7306" s="2">
        <v>1</v>
      </c>
      <c r="E7306" t="str">
        <f>"4574674200878759"</f>
        <v>4574674200878759</v>
      </c>
      <c r="F7306" t="str">
        <f>"228"</f>
        <v>228</v>
      </c>
      <c r="G7306">
        <v>1</v>
      </c>
      <c r="H7306">
        <v>2023</v>
      </c>
      <c r="I7306" t="s">
        <v>7421</v>
      </c>
    </row>
    <row r="7307" spans="1:9" x14ac:dyDescent="0.3">
      <c r="A7307" t="s">
        <v>10139</v>
      </c>
      <c r="B7307" t="s">
        <v>31</v>
      </c>
      <c r="C7307">
        <v>7648876604</v>
      </c>
      <c r="D7307" s="2">
        <v>1</v>
      </c>
      <c r="E7307" t="str">
        <f>"4574674200878957"</f>
        <v>4574674200878957</v>
      </c>
      <c r="F7307" t="str">
        <f>"887"</f>
        <v>887</v>
      </c>
      <c r="G7307">
        <v>1</v>
      </c>
      <c r="H7307">
        <v>2023</v>
      </c>
      <c r="I7307" t="s">
        <v>7422</v>
      </c>
    </row>
    <row r="7308" spans="1:9" x14ac:dyDescent="0.3">
      <c r="A7308" t="s">
        <v>10139</v>
      </c>
      <c r="B7308" t="s">
        <v>31</v>
      </c>
      <c r="C7308">
        <v>7648876604</v>
      </c>
      <c r="D7308" s="2">
        <v>1</v>
      </c>
      <c r="E7308" t="str">
        <f>"4574674200878999"</f>
        <v>4574674200878999</v>
      </c>
      <c r="F7308" t="str">
        <f>"412"</f>
        <v>412</v>
      </c>
      <c r="G7308">
        <v>1</v>
      </c>
      <c r="H7308">
        <v>2023</v>
      </c>
      <c r="I7308" t="s">
        <v>7423</v>
      </c>
    </row>
    <row r="7309" spans="1:9" x14ac:dyDescent="0.3">
      <c r="A7309" t="s">
        <v>10139</v>
      </c>
      <c r="B7309" t="s">
        <v>31</v>
      </c>
      <c r="C7309">
        <v>7648876604</v>
      </c>
      <c r="D7309" s="2">
        <v>1</v>
      </c>
      <c r="E7309" t="str">
        <f>"4574674200879229"</f>
        <v>4574674200879229</v>
      </c>
      <c r="F7309" t="str">
        <f>"001"</f>
        <v>001</v>
      </c>
      <c r="G7309">
        <v>1</v>
      </c>
      <c r="H7309">
        <v>2023</v>
      </c>
      <c r="I7309" t="s">
        <v>7424</v>
      </c>
    </row>
    <row r="7310" spans="1:9" x14ac:dyDescent="0.3">
      <c r="A7310" t="s">
        <v>10139</v>
      </c>
      <c r="B7310" t="s">
        <v>31</v>
      </c>
      <c r="C7310">
        <v>7648876604</v>
      </c>
      <c r="D7310" s="2">
        <v>1</v>
      </c>
      <c r="E7310" t="str">
        <f>"4574674200879203"</f>
        <v>4574674200879203</v>
      </c>
      <c r="F7310" t="str">
        <f>"343"</f>
        <v>343</v>
      </c>
      <c r="G7310">
        <v>1</v>
      </c>
      <c r="H7310">
        <v>2023</v>
      </c>
      <c r="I7310" t="s">
        <v>7425</v>
      </c>
    </row>
    <row r="7311" spans="1:9" x14ac:dyDescent="0.3">
      <c r="A7311" t="s">
        <v>10139</v>
      </c>
      <c r="B7311" t="s">
        <v>31</v>
      </c>
      <c r="C7311">
        <v>7648876604</v>
      </c>
      <c r="D7311" s="2">
        <v>1</v>
      </c>
      <c r="E7311" t="str">
        <f>"4574674200879062"</f>
        <v>4574674200879062</v>
      </c>
      <c r="F7311" t="str">
        <f>"280"</f>
        <v>280</v>
      </c>
      <c r="G7311">
        <v>1</v>
      </c>
      <c r="H7311">
        <v>2023</v>
      </c>
      <c r="I7311" t="s">
        <v>7426</v>
      </c>
    </row>
    <row r="7312" spans="1:9" x14ac:dyDescent="0.3">
      <c r="A7312" t="s">
        <v>10139</v>
      </c>
      <c r="B7312" t="s">
        <v>31</v>
      </c>
      <c r="C7312">
        <v>7648876604</v>
      </c>
      <c r="D7312" s="2">
        <v>1</v>
      </c>
      <c r="E7312" t="str">
        <f>"4574674200879088"</f>
        <v>4574674200879088</v>
      </c>
      <c r="F7312" t="str">
        <f>"811"</f>
        <v>811</v>
      </c>
      <c r="G7312">
        <v>1</v>
      </c>
      <c r="H7312">
        <v>2023</v>
      </c>
      <c r="I7312" t="s">
        <v>7427</v>
      </c>
    </row>
    <row r="7313" spans="1:9" x14ac:dyDescent="0.3">
      <c r="A7313" t="s">
        <v>10139</v>
      </c>
      <c r="B7313" t="s">
        <v>31</v>
      </c>
      <c r="C7313">
        <v>7648876604</v>
      </c>
      <c r="D7313" s="2">
        <v>1</v>
      </c>
      <c r="E7313" t="str">
        <f>"4574674200879104"</f>
        <v>4574674200879104</v>
      </c>
      <c r="F7313" t="str">
        <f>"142"</f>
        <v>142</v>
      </c>
      <c r="G7313">
        <v>1</v>
      </c>
      <c r="H7313">
        <v>2023</v>
      </c>
      <c r="I7313" t="s">
        <v>7428</v>
      </c>
    </row>
    <row r="7314" spans="1:9" x14ac:dyDescent="0.3">
      <c r="A7314" t="s">
        <v>10139</v>
      </c>
      <c r="B7314" t="s">
        <v>31</v>
      </c>
      <c r="C7314">
        <v>7648876604</v>
      </c>
      <c r="D7314" s="2">
        <v>1</v>
      </c>
      <c r="E7314" t="str">
        <f>"4574674200879120"</f>
        <v>4574674200879120</v>
      </c>
      <c r="F7314" t="str">
        <f>"361"</f>
        <v>361</v>
      </c>
      <c r="G7314">
        <v>1</v>
      </c>
      <c r="H7314">
        <v>2023</v>
      </c>
      <c r="I7314" t="s">
        <v>7429</v>
      </c>
    </row>
    <row r="7315" spans="1:9" x14ac:dyDescent="0.3">
      <c r="A7315" t="s">
        <v>10139</v>
      </c>
      <c r="B7315" t="s">
        <v>31</v>
      </c>
      <c r="C7315">
        <v>7648876604</v>
      </c>
      <c r="D7315" s="2">
        <v>1</v>
      </c>
      <c r="E7315" t="str">
        <f>"4574674200879260"</f>
        <v>4574674200879260</v>
      </c>
      <c r="F7315" t="str">
        <f>"205"</f>
        <v>205</v>
      </c>
      <c r="G7315">
        <v>1</v>
      </c>
      <c r="H7315">
        <v>2023</v>
      </c>
      <c r="I7315" t="s">
        <v>7430</v>
      </c>
    </row>
    <row r="7316" spans="1:9" x14ac:dyDescent="0.3">
      <c r="A7316" t="s">
        <v>10139</v>
      </c>
      <c r="B7316" t="s">
        <v>31</v>
      </c>
      <c r="C7316">
        <v>7648876604</v>
      </c>
      <c r="D7316" s="2">
        <v>1</v>
      </c>
      <c r="E7316" t="str">
        <f>"4574674200879427"</f>
        <v>4574674200879427</v>
      </c>
      <c r="F7316" t="str">
        <f>"050"</f>
        <v>050</v>
      </c>
      <c r="G7316">
        <v>1</v>
      </c>
      <c r="H7316">
        <v>2023</v>
      </c>
      <c r="I7316" t="s">
        <v>7431</v>
      </c>
    </row>
    <row r="7317" spans="1:9" x14ac:dyDescent="0.3">
      <c r="A7317" t="s">
        <v>10138</v>
      </c>
      <c r="B7317" t="s">
        <v>30</v>
      </c>
      <c r="C7317">
        <v>7648876604</v>
      </c>
      <c r="D7317" s="2">
        <v>1</v>
      </c>
      <c r="E7317" t="str">
        <f>"4574674200879468"</f>
        <v>4574674200879468</v>
      </c>
      <c r="F7317" t="str">
        <f>"822"</f>
        <v>822</v>
      </c>
      <c r="G7317">
        <v>1</v>
      </c>
      <c r="H7317">
        <v>2023</v>
      </c>
      <c r="I7317" t="s">
        <v>7432</v>
      </c>
    </row>
    <row r="7318" spans="1:9" x14ac:dyDescent="0.3">
      <c r="A7318" t="s">
        <v>10138</v>
      </c>
      <c r="B7318" t="s">
        <v>30</v>
      </c>
      <c r="C7318">
        <v>7648876604</v>
      </c>
      <c r="D7318" s="2">
        <v>1</v>
      </c>
      <c r="E7318" t="str">
        <f>"4574674200879450"</f>
        <v>4574674200879450</v>
      </c>
      <c r="F7318" t="str">
        <f>"166"</f>
        <v>166</v>
      </c>
      <c r="G7318">
        <v>1</v>
      </c>
      <c r="H7318">
        <v>2023</v>
      </c>
      <c r="I7318" t="s">
        <v>7433</v>
      </c>
    </row>
    <row r="7319" spans="1:9" x14ac:dyDescent="0.3">
      <c r="A7319" t="s">
        <v>10138</v>
      </c>
      <c r="B7319" t="s">
        <v>30</v>
      </c>
      <c r="C7319">
        <v>7648876604</v>
      </c>
      <c r="D7319" s="2">
        <v>1</v>
      </c>
      <c r="E7319" t="str">
        <f>"4574674200879336"</f>
        <v>4574674200879336</v>
      </c>
      <c r="F7319" t="str">
        <f>"682"</f>
        <v>682</v>
      </c>
      <c r="G7319">
        <v>1</v>
      </c>
      <c r="H7319">
        <v>2023</v>
      </c>
      <c r="I7319" t="s">
        <v>7434</v>
      </c>
    </row>
    <row r="7320" spans="1:9" x14ac:dyDescent="0.3">
      <c r="A7320" t="s">
        <v>10138</v>
      </c>
      <c r="B7320" t="s">
        <v>30</v>
      </c>
      <c r="C7320">
        <v>7648876604</v>
      </c>
      <c r="D7320" s="2">
        <v>1</v>
      </c>
      <c r="E7320" t="str">
        <f>"4574674200879500"</f>
        <v>4574674200879500</v>
      </c>
      <c r="F7320" t="str">
        <f>"377"</f>
        <v>377</v>
      </c>
      <c r="G7320">
        <v>1</v>
      </c>
      <c r="H7320">
        <v>2023</v>
      </c>
      <c r="I7320" t="s">
        <v>7435</v>
      </c>
    </row>
    <row r="7321" spans="1:9" x14ac:dyDescent="0.3">
      <c r="A7321" t="s">
        <v>10138</v>
      </c>
      <c r="B7321" t="s">
        <v>30</v>
      </c>
      <c r="C7321">
        <v>7648876604</v>
      </c>
      <c r="D7321" s="2">
        <v>1</v>
      </c>
      <c r="E7321" t="str">
        <f>"4574674200879344"</f>
        <v>4574674200879344</v>
      </c>
      <c r="F7321" t="str">
        <f>"562"</f>
        <v>562</v>
      </c>
      <c r="G7321">
        <v>1</v>
      </c>
      <c r="H7321">
        <v>2023</v>
      </c>
      <c r="I7321" t="s">
        <v>7436</v>
      </c>
    </row>
    <row r="7322" spans="1:9" x14ac:dyDescent="0.3">
      <c r="A7322" t="s">
        <v>10138</v>
      </c>
      <c r="B7322" t="s">
        <v>30</v>
      </c>
      <c r="C7322">
        <v>7648876604</v>
      </c>
      <c r="D7322" s="2">
        <v>1</v>
      </c>
      <c r="E7322" t="str">
        <f>"4574674200879542"</f>
        <v>4574674200879542</v>
      </c>
      <c r="F7322" t="str">
        <f>"423"</f>
        <v>423</v>
      </c>
      <c r="G7322">
        <v>1</v>
      </c>
      <c r="H7322">
        <v>2023</v>
      </c>
      <c r="I7322" t="s">
        <v>7437</v>
      </c>
    </row>
    <row r="7323" spans="1:9" x14ac:dyDescent="0.3">
      <c r="A7323" t="s">
        <v>10138</v>
      </c>
      <c r="B7323" t="s">
        <v>30</v>
      </c>
      <c r="C7323">
        <v>7648876604</v>
      </c>
      <c r="D7323" s="2">
        <v>1</v>
      </c>
      <c r="E7323" t="str">
        <f>"4574674200879393"</f>
        <v>4574674200879393</v>
      </c>
      <c r="F7323" t="str">
        <f>"457"</f>
        <v>457</v>
      </c>
      <c r="G7323">
        <v>1</v>
      </c>
      <c r="H7323">
        <v>2023</v>
      </c>
      <c r="I7323" t="s">
        <v>7438</v>
      </c>
    </row>
    <row r="7324" spans="1:9" x14ac:dyDescent="0.3">
      <c r="A7324" t="s">
        <v>10138</v>
      </c>
      <c r="B7324" t="s">
        <v>30</v>
      </c>
      <c r="C7324">
        <v>7648876604</v>
      </c>
      <c r="D7324" s="2">
        <v>1</v>
      </c>
      <c r="E7324" t="str">
        <f>"4574674200879575"</f>
        <v>4574674200879575</v>
      </c>
      <c r="F7324" t="str">
        <f>"695"</f>
        <v>695</v>
      </c>
      <c r="G7324">
        <v>1</v>
      </c>
      <c r="H7324">
        <v>2023</v>
      </c>
      <c r="I7324" t="s">
        <v>7439</v>
      </c>
    </row>
    <row r="7325" spans="1:9" x14ac:dyDescent="0.3">
      <c r="A7325" t="s">
        <v>10138</v>
      </c>
      <c r="B7325" t="s">
        <v>30</v>
      </c>
      <c r="C7325">
        <v>7648876604</v>
      </c>
      <c r="D7325" s="2">
        <v>1</v>
      </c>
      <c r="E7325" t="str">
        <f>"4574674200879567"</f>
        <v>4574674200879567</v>
      </c>
      <c r="F7325" t="str">
        <f>"668"</f>
        <v>668</v>
      </c>
      <c r="G7325">
        <v>1</v>
      </c>
      <c r="H7325">
        <v>2023</v>
      </c>
      <c r="I7325" t="s">
        <v>7440</v>
      </c>
    </row>
    <row r="7326" spans="1:9" x14ac:dyDescent="0.3">
      <c r="A7326" t="s">
        <v>10138</v>
      </c>
      <c r="B7326" t="s">
        <v>30</v>
      </c>
      <c r="C7326">
        <v>7648876604</v>
      </c>
      <c r="D7326" s="2">
        <v>1</v>
      </c>
      <c r="E7326" t="str">
        <f>"4574674200879625"</f>
        <v>4574674200879625</v>
      </c>
      <c r="F7326" t="str">
        <f>"868"</f>
        <v>868</v>
      </c>
      <c r="G7326">
        <v>1</v>
      </c>
      <c r="H7326">
        <v>2023</v>
      </c>
      <c r="I7326" t="s">
        <v>7441</v>
      </c>
    </row>
    <row r="7327" spans="1:9" x14ac:dyDescent="0.3">
      <c r="A7327" t="s">
        <v>10157</v>
      </c>
      <c r="B7327" t="s">
        <v>49</v>
      </c>
      <c r="C7327">
        <v>7648876604</v>
      </c>
      <c r="D7327" s="2">
        <v>1</v>
      </c>
      <c r="E7327" t="str">
        <f>"4574674200879856"</f>
        <v>4574674200879856</v>
      </c>
      <c r="F7327" t="str">
        <f>"250"</f>
        <v>250</v>
      </c>
      <c r="G7327">
        <v>1</v>
      </c>
      <c r="H7327">
        <v>2023</v>
      </c>
      <c r="I7327" t="s">
        <v>7442</v>
      </c>
    </row>
    <row r="7328" spans="1:9" x14ac:dyDescent="0.3">
      <c r="A7328" t="s">
        <v>10157</v>
      </c>
      <c r="B7328" t="s">
        <v>49</v>
      </c>
      <c r="C7328">
        <v>7648876604</v>
      </c>
      <c r="D7328" s="2">
        <v>1</v>
      </c>
      <c r="E7328" t="str">
        <f>"4574674200879898"</f>
        <v>4574674200879898</v>
      </c>
      <c r="F7328" t="str">
        <f>"924"</f>
        <v>924</v>
      </c>
      <c r="G7328">
        <v>1</v>
      </c>
      <c r="H7328">
        <v>2023</v>
      </c>
      <c r="I7328" t="s">
        <v>7443</v>
      </c>
    </row>
    <row r="7329" spans="1:9" x14ac:dyDescent="0.3">
      <c r="A7329" t="s">
        <v>10157</v>
      </c>
      <c r="B7329" t="s">
        <v>49</v>
      </c>
      <c r="C7329">
        <v>7648876604</v>
      </c>
      <c r="D7329" s="2">
        <v>1</v>
      </c>
      <c r="E7329" t="str">
        <f>"4574674200879708"</f>
        <v>4574674200879708</v>
      </c>
      <c r="F7329" t="str">
        <f>"335"</f>
        <v>335</v>
      </c>
      <c r="G7329">
        <v>1</v>
      </c>
      <c r="H7329">
        <v>2023</v>
      </c>
      <c r="I7329" t="s">
        <v>7444</v>
      </c>
    </row>
    <row r="7330" spans="1:9" x14ac:dyDescent="0.3">
      <c r="A7330" t="s">
        <v>10157</v>
      </c>
      <c r="B7330" t="s">
        <v>49</v>
      </c>
      <c r="C7330">
        <v>7648876604</v>
      </c>
      <c r="D7330" s="2">
        <v>1</v>
      </c>
      <c r="E7330" t="str">
        <f>"4574674200879716"</f>
        <v>4574674200879716</v>
      </c>
      <c r="F7330" t="str">
        <f>"206"</f>
        <v>206</v>
      </c>
      <c r="G7330">
        <v>1</v>
      </c>
      <c r="H7330">
        <v>2023</v>
      </c>
      <c r="I7330" t="s">
        <v>7445</v>
      </c>
    </row>
    <row r="7331" spans="1:9" x14ac:dyDescent="0.3">
      <c r="A7331" t="s">
        <v>10157</v>
      </c>
      <c r="B7331" t="s">
        <v>49</v>
      </c>
      <c r="C7331">
        <v>7648876604</v>
      </c>
      <c r="D7331" s="2">
        <v>1</v>
      </c>
      <c r="E7331" t="str">
        <f>"4574674200879724"</f>
        <v>4574674200879724</v>
      </c>
      <c r="F7331" t="str">
        <f>"112"</f>
        <v>112</v>
      </c>
      <c r="G7331">
        <v>1</v>
      </c>
      <c r="H7331">
        <v>2023</v>
      </c>
      <c r="I7331" t="s">
        <v>7446</v>
      </c>
    </row>
    <row r="7332" spans="1:9" x14ac:dyDescent="0.3">
      <c r="A7332" t="s">
        <v>10157</v>
      </c>
      <c r="B7332" t="s">
        <v>49</v>
      </c>
      <c r="C7332">
        <v>7648876604</v>
      </c>
      <c r="D7332" s="2">
        <v>1</v>
      </c>
      <c r="E7332" t="str">
        <f>"4574674200879757"</f>
        <v>4574674200879757</v>
      </c>
      <c r="F7332" t="str">
        <f>"487"</f>
        <v>487</v>
      </c>
      <c r="G7332">
        <v>1</v>
      </c>
      <c r="H7332">
        <v>2023</v>
      </c>
      <c r="I7332" t="s">
        <v>7447</v>
      </c>
    </row>
    <row r="7333" spans="1:9" x14ac:dyDescent="0.3">
      <c r="A7333" t="s">
        <v>10157</v>
      </c>
      <c r="B7333" t="s">
        <v>49</v>
      </c>
      <c r="C7333">
        <v>7648876604</v>
      </c>
      <c r="D7333" s="2">
        <v>1</v>
      </c>
      <c r="E7333" t="str">
        <f>"4574674200880052"</f>
        <v>4574674200880052</v>
      </c>
      <c r="F7333" t="str">
        <f>"185"</f>
        <v>185</v>
      </c>
      <c r="G7333">
        <v>1</v>
      </c>
      <c r="H7333">
        <v>2023</v>
      </c>
      <c r="I7333" t="s">
        <v>7448</v>
      </c>
    </row>
    <row r="7334" spans="1:9" x14ac:dyDescent="0.3">
      <c r="A7334" t="s">
        <v>10157</v>
      </c>
      <c r="B7334" t="s">
        <v>49</v>
      </c>
      <c r="C7334">
        <v>7648876604</v>
      </c>
      <c r="D7334" s="2">
        <v>1</v>
      </c>
      <c r="E7334" t="str">
        <f>"4574674200879930"</f>
        <v>4574674200879930</v>
      </c>
      <c r="F7334" t="str">
        <f>"942"</f>
        <v>942</v>
      </c>
      <c r="G7334">
        <v>1</v>
      </c>
      <c r="H7334">
        <v>2023</v>
      </c>
      <c r="I7334" t="s">
        <v>7449</v>
      </c>
    </row>
    <row r="7335" spans="1:9" x14ac:dyDescent="0.3">
      <c r="A7335" t="s">
        <v>10157</v>
      </c>
      <c r="B7335" t="s">
        <v>49</v>
      </c>
      <c r="C7335">
        <v>7648876604</v>
      </c>
      <c r="D7335" s="2">
        <v>1</v>
      </c>
      <c r="E7335" t="str">
        <f>"4574674200880060"</f>
        <v>4574674200880060</v>
      </c>
      <c r="F7335" t="str">
        <f>"709"</f>
        <v>709</v>
      </c>
      <c r="G7335">
        <v>1</v>
      </c>
      <c r="H7335">
        <v>2023</v>
      </c>
      <c r="I7335" t="s">
        <v>7450</v>
      </c>
    </row>
    <row r="7336" spans="1:9" x14ac:dyDescent="0.3">
      <c r="A7336" t="s">
        <v>10157</v>
      </c>
      <c r="B7336" t="s">
        <v>49</v>
      </c>
      <c r="C7336">
        <v>7648876604</v>
      </c>
      <c r="D7336" s="2">
        <v>1</v>
      </c>
      <c r="E7336" t="str">
        <f>"4574674200880086"</f>
        <v>4574674200880086</v>
      </c>
      <c r="F7336" t="str">
        <f>"444"</f>
        <v>444</v>
      </c>
      <c r="G7336">
        <v>1</v>
      </c>
      <c r="H7336">
        <v>2023</v>
      </c>
      <c r="I7336" t="s">
        <v>7451</v>
      </c>
    </row>
    <row r="7337" spans="1:9" x14ac:dyDescent="0.3">
      <c r="A7337" t="s">
        <v>10158</v>
      </c>
      <c r="B7337" t="s">
        <v>50</v>
      </c>
      <c r="C7337">
        <v>7648876604</v>
      </c>
      <c r="D7337" s="2">
        <v>1</v>
      </c>
      <c r="E7337" t="str">
        <f>"4574674200879971"</f>
        <v>4574674200879971</v>
      </c>
      <c r="F7337" t="str">
        <f>"759"</f>
        <v>759</v>
      </c>
      <c r="G7337">
        <v>1</v>
      </c>
      <c r="H7337">
        <v>2023</v>
      </c>
      <c r="I7337" t="s">
        <v>7452</v>
      </c>
    </row>
    <row r="7338" spans="1:9" x14ac:dyDescent="0.3">
      <c r="A7338" t="s">
        <v>10158</v>
      </c>
      <c r="B7338" t="s">
        <v>50</v>
      </c>
      <c r="C7338">
        <v>7648876604</v>
      </c>
      <c r="D7338" s="2">
        <v>1</v>
      </c>
      <c r="E7338" t="str">
        <f>"4574674200880144"</f>
        <v>4574674200880144</v>
      </c>
      <c r="F7338" t="str">
        <f>"397"</f>
        <v>397</v>
      </c>
      <c r="G7338">
        <v>1</v>
      </c>
      <c r="H7338">
        <v>2023</v>
      </c>
      <c r="I7338" t="s">
        <v>7453</v>
      </c>
    </row>
    <row r="7339" spans="1:9" x14ac:dyDescent="0.3">
      <c r="A7339" t="s">
        <v>10158</v>
      </c>
      <c r="B7339" t="s">
        <v>50</v>
      </c>
      <c r="C7339">
        <v>7648876604</v>
      </c>
      <c r="D7339" s="2">
        <v>1</v>
      </c>
      <c r="E7339" t="str">
        <f>"4574674200880201"</f>
        <v>4574674200880201</v>
      </c>
      <c r="F7339" t="str">
        <f>"660"</f>
        <v>660</v>
      </c>
      <c r="G7339">
        <v>1</v>
      </c>
      <c r="H7339">
        <v>2023</v>
      </c>
      <c r="I7339" t="s">
        <v>7454</v>
      </c>
    </row>
    <row r="7340" spans="1:9" x14ac:dyDescent="0.3">
      <c r="A7340" t="s">
        <v>10158</v>
      </c>
      <c r="B7340" t="s">
        <v>50</v>
      </c>
      <c r="C7340">
        <v>7648876604</v>
      </c>
      <c r="D7340" s="2">
        <v>1</v>
      </c>
      <c r="E7340" t="str">
        <f>"4574674200880193"</f>
        <v>4574674200880193</v>
      </c>
      <c r="F7340" t="str">
        <f>"982"</f>
        <v>982</v>
      </c>
      <c r="G7340">
        <v>1</v>
      </c>
      <c r="H7340">
        <v>2023</v>
      </c>
      <c r="I7340" t="s">
        <v>7455</v>
      </c>
    </row>
    <row r="7341" spans="1:9" x14ac:dyDescent="0.3">
      <c r="A7341" t="s">
        <v>10158</v>
      </c>
      <c r="B7341" t="s">
        <v>50</v>
      </c>
      <c r="C7341">
        <v>7648876604</v>
      </c>
      <c r="D7341" s="2">
        <v>1</v>
      </c>
      <c r="E7341" t="str">
        <f>"4574674200880417"</f>
        <v>4574674200880417</v>
      </c>
      <c r="F7341" t="str">
        <f>"180"</f>
        <v>180</v>
      </c>
      <c r="G7341">
        <v>1</v>
      </c>
      <c r="H7341">
        <v>2023</v>
      </c>
      <c r="I7341" t="s">
        <v>7456</v>
      </c>
    </row>
    <row r="7342" spans="1:9" x14ac:dyDescent="0.3">
      <c r="A7342" t="s">
        <v>10158</v>
      </c>
      <c r="B7342" t="s">
        <v>50</v>
      </c>
      <c r="C7342">
        <v>7648876604</v>
      </c>
      <c r="D7342" s="2">
        <v>1</v>
      </c>
      <c r="E7342" t="str">
        <f>"4574674200880433"</f>
        <v>4574674200880433</v>
      </c>
      <c r="F7342" t="str">
        <f>"463"</f>
        <v>463</v>
      </c>
      <c r="G7342">
        <v>1</v>
      </c>
      <c r="H7342">
        <v>2023</v>
      </c>
      <c r="I7342" t="s">
        <v>7457</v>
      </c>
    </row>
    <row r="7343" spans="1:9" x14ac:dyDescent="0.3">
      <c r="A7343" t="s">
        <v>10158</v>
      </c>
      <c r="B7343" t="s">
        <v>50</v>
      </c>
      <c r="C7343">
        <v>7648876604</v>
      </c>
      <c r="D7343" s="2">
        <v>1</v>
      </c>
      <c r="E7343" t="str">
        <f>"4574674200880474"</f>
        <v>4574674200880474</v>
      </c>
      <c r="F7343" t="str">
        <f>"958"</f>
        <v>958</v>
      </c>
      <c r="G7343">
        <v>1</v>
      </c>
      <c r="H7343">
        <v>2023</v>
      </c>
      <c r="I7343" t="s">
        <v>7458</v>
      </c>
    </row>
    <row r="7344" spans="1:9" x14ac:dyDescent="0.3">
      <c r="A7344" t="s">
        <v>10158</v>
      </c>
      <c r="B7344" t="s">
        <v>50</v>
      </c>
      <c r="C7344">
        <v>7648876604</v>
      </c>
      <c r="D7344" s="2">
        <v>1</v>
      </c>
      <c r="E7344" t="str">
        <f>"4574674200880250"</f>
        <v>4574674200880250</v>
      </c>
      <c r="F7344" t="str">
        <f>"002"</f>
        <v>002</v>
      </c>
      <c r="G7344">
        <v>1</v>
      </c>
      <c r="H7344">
        <v>2023</v>
      </c>
      <c r="I7344" t="s">
        <v>7459</v>
      </c>
    </row>
    <row r="7345" spans="1:9" x14ac:dyDescent="0.3">
      <c r="A7345" t="s">
        <v>10158</v>
      </c>
      <c r="B7345" t="s">
        <v>50</v>
      </c>
      <c r="C7345">
        <v>7648876604</v>
      </c>
      <c r="D7345" s="2">
        <v>1</v>
      </c>
      <c r="E7345" t="str">
        <f>"4574674200880540"</f>
        <v>4574674200880540</v>
      </c>
      <c r="F7345" t="str">
        <f>"026"</f>
        <v>026</v>
      </c>
      <c r="G7345">
        <v>1</v>
      </c>
      <c r="H7345">
        <v>2023</v>
      </c>
      <c r="I7345" t="s">
        <v>7460</v>
      </c>
    </row>
    <row r="7346" spans="1:9" x14ac:dyDescent="0.3">
      <c r="A7346" t="s">
        <v>10158</v>
      </c>
      <c r="B7346" t="s">
        <v>50</v>
      </c>
      <c r="C7346">
        <v>7648876604</v>
      </c>
      <c r="D7346" s="2">
        <v>1</v>
      </c>
      <c r="E7346" t="str">
        <f>"4574674200880565"</f>
        <v>4574674200880565</v>
      </c>
      <c r="F7346" t="str">
        <f>"129"</f>
        <v>129</v>
      </c>
      <c r="G7346">
        <v>1</v>
      </c>
      <c r="H7346">
        <v>2023</v>
      </c>
      <c r="I7346" t="s">
        <v>7461</v>
      </c>
    </row>
    <row r="7347" spans="1:9" x14ac:dyDescent="0.3">
      <c r="A7347" t="s">
        <v>10159</v>
      </c>
      <c r="B7347" t="s">
        <v>51</v>
      </c>
      <c r="C7347">
        <v>7648876604</v>
      </c>
      <c r="D7347" s="2">
        <v>1</v>
      </c>
      <c r="E7347" t="str">
        <f>"4574674200880581"</f>
        <v>4574674200880581</v>
      </c>
      <c r="F7347" t="str">
        <f>"286"</f>
        <v>286</v>
      </c>
      <c r="G7347">
        <v>1</v>
      </c>
      <c r="H7347">
        <v>2023</v>
      </c>
      <c r="I7347" t="s">
        <v>7462</v>
      </c>
    </row>
    <row r="7348" spans="1:9" x14ac:dyDescent="0.3">
      <c r="A7348" t="s">
        <v>10159</v>
      </c>
      <c r="B7348" t="s">
        <v>51</v>
      </c>
      <c r="C7348">
        <v>7648876604</v>
      </c>
      <c r="D7348" s="2">
        <v>1</v>
      </c>
      <c r="E7348" t="str">
        <f>"4574674200880318"</f>
        <v>4574674200880318</v>
      </c>
      <c r="F7348" t="str">
        <f>"292"</f>
        <v>292</v>
      </c>
      <c r="G7348">
        <v>1</v>
      </c>
      <c r="H7348">
        <v>2023</v>
      </c>
      <c r="I7348" t="s">
        <v>7463</v>
      </c>
    </row>
    <row r="7349" spans="1:9" x14ac:dyDescent="0.3">
      <c r="A7349" t="s">
        <v>10159</v>
      </c>
      <c r="B7349" t="s">
        <v>51</v>
      </c>
      <c r="C7349">
        <v>7648876604</v>
      </c>
      <c r="D7349" s="2">
        <v>1</v>
      </c>
      <c r="E7349" t="str">
        <f>"4574674200880334"</f>
        <v>4574674200880334</v>
      </c>
      <c r="F7349" t="str">
        <f>"573"</f>
        <v>573</v>
      </c>
      <c r="G7349">
        <v>1</v>
      </c>
      <c r="H7349">
        <v>2023</v>
      </c>
      <c r="I7349" t="s">
        <v>7464</v>
      </c>
    </row>
    <row r="7350" spans="1:9" x14ac:dyDescent="0.3">
      <c r="A7350" t="s">
        <v>10159</v>
      </c>
      <c r="B7350" t="s">
        <v>51</v>
      </c>
      <c r="C7350">
        <v>7648876604</v>
      </c>
      <c r="D7350" s="2">
        <v>1</v>
      </c>
      <c r="E7350" t="str">
        <f>"4574674200880615"</f>
        <v>4574674200880615</v>
      </c>
      <c r="F7350" t="str">
        <f>"124"</f>
        <v>124</v>
      </c>
      <c r="G7350">
        <v>1</v>
      </c>
      <c r="H7350">
        <v>2023</v>
      </c>
      <c r="I7350" t="s">
        <v>7465</v>
      </c>
    </row>
    <row r="7351" spans="1:9" x14ac:dyDescent="0.3">
      <c r="A7351" t="s">
        <v>10159</v>
      </c>
      <c r="B7351" t="s">
        <v>51</v>
      </c>
      <c r="C7351">
        <v>7648876604</v>
      </c>
      <c r="D7351" s="2">
        <v>1</v>
      </c>
      <c r="E7351" t="str">
        <f>"4574674200880722"</f>
        <v>4574674200880722</v>
      </c>
      <c r="F7351" t="str">
        <f>"351"</f>
        <v>351</v>
      </c>
      <c r="G7351">
        <v>1</v>
      </c>
      <c r="H7351">
        <v>2023</v>
      </c>
      <c r="I7351" t="s">
        <v>7466</v>
      </c>
    </row>
    <row r="7352" spans="1:9" x14ac:dyDescent="0.3">
      <c r="A7352" t="s">
        <v>10159</v>
      </c>
      <c r="B7352" t="s">
        <v>51</v>
      </c>
      <c r="C7352">
        <v>7648876604</v>
      </c>
      <c r="D7352" s="2">
        <v>1</v>
      </c>
      <c r="E7352" t="str">
        <f>"4574674200880714"</f>
        <v>4574674200880714</v>
      </c>
      <c r="F7352" t="str">
        <f>"664"</f>
        <v>664</v>
      </c>
      <c r="G7352">
        <v>1</v>
      </c>
      <c r="H7352">
        <v>2023</v>
      </c>
      <c r="I7352" t="s">
        <v>7467</v>
      </c>
    </row>
    <row r="7353" spans="1:9" x14ac:dyDescent="0.3">
      <c r="A7353" t="s">
        <v>10159</v>
      </c>
      <c r="B7353" t="s">
        <v>51</v>
      </c>
      <c r="C7353">
        <v>7648876604</v>
      </c>
      <c r="D7353" s="2">
        <v>1</v>
      </c>
      <c r="E7353" t="str">
        <f>"4574674200880748"</f>
        <v>4574674200880748</v>
      </c>
      <c r="F7353" t="str">
        <f>"198"</f>
        <v>198</v>
      </c>
      <c r="G7353">
        <v>1</v>
      </c>
      <c r="H7353">
        <v>2023</v>
      </c>
      <c r="I7353" t="s">
        <v>7468</v>
      </c>
    </row>
    <row r="7354" spans="1:9" x14ac:dyDescent="0.3">
      <c r="A7354" t="s">
        <v>10159</v>
      </c>
      <c r="B7354" t="s">
        <v>51</v>
      </c>
      <c r="C7354">
        <v>7648876604</v>
      </c>
      <c r="D7354" s="2">
        <v>1</v>
      </c>
      <c r="E7354" t="str">
        <f>"4574674200880771"</f>
        <v>4574674200880771</v>
      </c>
      <c r="F7354" t="str">
        <f>"306"</f>
        <v>306</v>
      </c>
      <c r="G7354">
        <v>1</v>
      </c>
      <c r="H7354">
        <v>2023</v>
      </c>
      <c r="I7354" t="s">
        <v>7469</v>
      </c>
    </row>
    <row r="7355" spans="1:9" x14ac:dyDescent="0.3">
      <c r="A7355" t="s">
        <v>10159</v>
      </c>
      <c r="B7355" t="s">
        <v>51</v>
      </c>
      <c r="C7355">
        <v>7648876604</v>
      </c>
      <c r="D7355" s="2">
        <v>1</v>
      </c>
      <c r="E7355" t="str">
        <f>"4574674200880383"</f>
        <v>4574674200880383</v>
      </c>
      <c r="F7355" t="str">
        <f>"579"</f>
        <v>579</v>
      </c>
      <c r="G7355">
        <v>1</v>
      </c>
      <c r="H7355">
        <v>2023</v>
      </c>
      <c r="I7355" t="s">
        <v>7470</v>
      </c>
    </row>
    <row r="7356" spans="1:9" x14ac:dyDescent="0.3">
      <c r="A7356" t="s">
        <v>10159</v>
      </c>
      <c r="B7356" t="s">
        <v>51</v>
      </c>
      <c r="C7356">
        <v>7648876604</v>
      </c>
      <c r="D7356" s="2">
        <v>1</v>
      </c>
      <c r="E7356" t="str">
        <f>"4574674200880391"</f>
        <v>4574674200880391</v>
      </c>
      <c r="F7356" t="str">
        <f>"002"</f>
        <v>002</v>
      </c>
      <c r="G7356">
        <v>1</v>
      </c>
      <c r="H7356">
        <v>2023</v>
      </c>
      <c r="I7356" t="s">
        <v>7471</v>
      </c>
    </row>
    <row r="7357" spans="1:9" x14ac:dyDescent="0.3">
      <c r="A7357" t="s">
        <v>10130</v>
      </c>
      <c r="B7357" t="s">
        <v>22</v>
      </c>
      <c r="C7357">
        <v>7648876604</v>
      </c>
      <c r="D7357" s="2">
        <v>1</v>
      </c>
      <c r="E7357" t="str">
        <f>"4574674200881050"</f>
        <v>4574674200881050</v>
      </c>
      <c r="F7357" t="str">
        <f>"847"</f>
        <v>847</v>
      </c>
      <c r="G7357">
        <v>1</v>
      </c>
      <c r="H7357">
        <v>2023</v>
      </c>
      <c r="I7357" t="s">
        <v>7472</v>
      </c>
    </row>
    <row r="7358" spans="1:9" x14ac:dyDescent="0.3">
      <c r="A7358" t="s">
        <v>10130</v>
      </c>
      <c r="B7358" t="s">
        <v>22</v>
      </c>
      <c r="C7358">
        <v>7648876604</v>
      </c>
      <c r="D7358" s="2">
        <v>1</v>
      </c>
      <c r="E7358" t="str">
        <f>"4574674200880912"</f>
        <v>4574674200880912</v>
      </c>
      <c r="F7358" t="str">
        <f>"339"</f>
        <v>339</v>
      </c>
      <c r="G7358">
        <v>1</v>
      </c>
      <c r="H7358">
        <v>2023</v>
      </c>
      <c r="I7358" t="s">
        <v>7473</v>
      </c>
    </row>
    <row r="7359" spans="1:9" x14ac:dyDescent="0.3">
      <c r="A7359" t="s">
        <v>10130</v>
      </c>
      <c r="B7359" t="s">
        <v>22</v>
      </c>
      <c r="C7359">
        <v>7648876604</v>
      </c>
      <c r="D7359" s="2">
        <v>1</v>
      </c>
      <c r="E7359" t="str">
        <f>"4574674200880870"</f>
        <v>4574674200880870</v>
      </c>
      <c r="F7359" t="str">
        <f>"213"</f>
        <v>213</v>
      </c>
      <c r="G7359">
        <v>1</v>
      </c>
      <c r="H7359">
        <v>2023</v>
      </c>
      <c r="I7359" t="s">
        <v>7474</v>
      </c>
    </row>
    <row r="7360" spans="1:9" x14ac:dyDescent="0.3">
      <c r="A7360" t="s">
        <v>10130</v>
      </c>
      <c r="B7360" t="s">
        <v>22</v>
      </c>
      <c r="C7360">
        <v>7648876604</v>
      </c>
      <c r="D7360" s="2">
        <v>1</v>
      </c>
      <c r="E7360" t="str">
        <f>"4574674200880938"</f>
        <v>4574674200880938</v>
      </c>
      <c r="F7360" t="str">
        <f>"564"</f>
        <v>564</v>
      </c>
      <c r="G7360">
        <v>1</v>
      </c>
      <c r="H7360">
        <v>2023</v>
      </c>
      <c r="I7360" t="s">
        <v>7475</v>
      </c>
    </row>
    <row r="7361" spans="1:9" x14ac:dyDescent="0.3">
      <c r="A7361" t="s">
        <v>10130</v>
      </c>
      <c r="B7361" t="s">
        <v>22</v>
      </c>
      <c r="C7361">
        <v>7648876604</v>
      </c>
      <c r="D7361" s="2">
        <v>1</v>
      </c>
      <c r="E7361" t="str">
        <f>"4574674200880904"</f>
        <v>4574674200880904</v>
      </c>
      <c r="F7361" t="str">
        <f>"240"</f>
        <v>240</v>
      </c>
      <c r="G7361">
        <v>1</v>
      </c>
      <c r="H7361">
        <v>2023</v>
      </c>
      <c r="I7361" t="s">
        <v>7476</v>
      </c>
    </row>
    <row r="7362" spans="1:9" x14ac:dyDescent="0.3">
      <c r="A7362" t="s">
        <v>10130</v>
      </c>
      <c r="B7362" t="s">
        <v>22</v>
      </c>
      <c r="C7362">
        <v>7648876604</v>
      </c>
      <c r="D7362" s="2">
        <v>1</v>
      </c>
      <c r="E7362" t="str">
        <f>"4574674200881209"</f>
        <v>4574674200881209</v>
      </c>
      <c r="F7362" t="str">
        <f>"026"</f>
        <v>026</v>
      </c>
      <c r="G7362">
        <v>1</v>
      </c>
      <c r="H7362">
        <v>2023</v>
      </c>
      <c r="I7362" t="s">
        <v>7477</v>
      </c>
    </row>
    <row r="7363" spans="1:9" x14ac:dyDescent="0.3">
      <c r="A7363" t="s">
        <v>10130</v>
      </c>
      <c r="B7363" t="s">
        <v>22</v>
      </c>
      <c r="C7363">
        <v>7648876604</v>
      </c>
      <c r="D7363" s="2">
        <v>1</v>
      </c>
      <c r="E7363" t="str">
        <f>"4574674200881233"</f>
        <v>4574674200881233</v>
      </c>
      <c r="F7363" t="str">
        <f>"117"</f>
        <v>117</v>
      </c>
      <c r="G7363">
        <v>1</v>
      </c>
      <c r="H7363">
        <v>2023</v>
      </c>
      <c r="I7363" t="s">
        <v>7478</v>
      </c>
    </row>
    <row r="7364" spans="1:9" x14ac:dyDescent="0.3">
      <c r="A7364" t="s">
        <v>10130</v>
      </c>
      <c r="B7364" t="s">
        <v>22</v>
      </c>
      <c r="C7364">
        <v>7648876604</v>
      </c>
      <c r="D7364" s="2">
        <v>1</v>
      </c>
      <c r="E7364" t="str">
        <f>"4574674200881274"</f>
        <v>4574674200881274</v>
      </c>
      <c r="F7364" t="str">
        <f>"720"</f>
        <v>720</v>
      </c>
      <c r="G7364">
        <v>1</v>
      </c>
      <c r="H7364">
        <v>2023</v>
      </c>
      <c r="I7364" t="s">
        <v>7479</v>
      </c>
    </row>
    <row r="7365" spans="1:9" x14ac:dyDescent="0.3">
      <c r="A7365" t="s">
        <v>10130</v>
      </c>
      <c r="B7365" t="s">
        <v>22</v>
      </c>
      <c r="C7365">
        <v>7648876604</v>
      </c>
      <c r="D7365" s="2">
        <v>1</v>
      </c>
      <c r="E7365" t="str">
        <f>"4574674200881092"</f>
        <v>4574674200881092</v>
      </c>
      <c r="F7365" t="str">
        <f>"884"</f>
        <v>884</v>
      </c>
      <c r="G7365">
        <v>1</v>
      </c>
      <c r="H7365">
        <v>2023</v>
      </c>
      <c r="I7365" t="s">
        <v>7480</v>
      </c>
    </row>
    <row r="7366" spans="1:9" x14ac:dyDescent="0.3">
      <c r="A7366" t="s">
        <v>10130</v>
      </c>
      <c r="B7366" t="s">
        <v>22</v>
      </c>
      <c r="C7366">
        <v>7648876604</v>
      </c>
      <c r="D7366" s="2">
        <v>1</v>
      </c>
      <c r="E7366" t="str">
        <f>"4574674200881290"</f>
        <v>4574674200881290</v>
      </c>
      <c r="F7366" t="str">
        <f>"966"</f>
        <v>966</v>
      </c>
      <c r="G7366">
        <v>1</v>
      </c>
      <c r="H7366">
        <v>2023</v>
      </c>
      <c r="I7366" t="s">
        <v>7481</v>
      </c>
    </row>
    <row r="7367" spans="1:9" x14ac:dyDescent="0.3">
      <c r="A7367" t="s">
        <v>10132</v>
      </c>
      <c r="B7367" t="s">
        <v>24</v>
      </c>
      <c r="C7367">
        <v>7648876604</v>
      </c>
      <c r="D7367" s="2">
        <v>1</v>
      </c>
      <c r="E7367" t="str">
        <f>"4574674200881142"</f>
        <v>4574674200881142</v>
      </c>
      <c r="F7367" t="str">
        <f>"715"</f>
        <v>715</v>
      </c>
      <c r="G7367">
        <v>1</v>
      </c>
      <c r="H7367">
        <v>2023</v>
      </c>
      <c r="I7367" t="s">
        <v>7482</v>
      </c>
    </row>
    <row r="7368" spans="1:9" x14ac:dyDescent="0.3">
      <c r="A7368" t="s">
        <v>10132</v>
      </c>
      <c r="B7368" t="s">
        <v>24</v>
      </c>
      <c r="C7368">
        <v>7648876604</v>
      </c>
      <c r="D7368" s="2">
        <v>1</v>
      </c>
      <c r="E7368" t="str">
        <f>"4574674200881134"</f>
        <v>4574674200881134</v>
      </c>
      <c r="F7368" t="str">
        <f>"390"</f>
        <v>390</v>
      </c>
      <c r="G7368">
        <v>1</v>
      </c>
      <c r="H7368">
        <v>2023</v>
      </c>
      <c r="I7368" t="s">
        <v>7483</v>
      </c>
    </row>
    <row r="7369" spans="1:9" x14ac:dyDescent="0.3">
      <c r="A7369" t="s">
        <v>10132</v>
      </c>
      <c r="B7369" t="s">
        <v>24</v>
      </c>
      <c r="C7369">
        <v>7648876604</v>
      </c>
      <c r="D7369" s="2">
        <v>1</v>
      </c>
      <c r="E7369" t="str">
        <f>"4574674200881365"</f>
        <v>4574674200881365</v>
      </c>
      <c r="F7369" t="str">
        <f>"967"</f>
        <v>967</v>
      </c>
      <c r="G7369">
        <v>1</v>
      </c>
      <c r="H7369">
        <v>2023</v>
      </c>
      <c r="I7369" t="s">
        <v>7484</v>
      </c>
    </row>
    <row r="7370" spans="1:9" x14ac:dyDescent="0.3">
      <c r="A7370" t="s">
        <v>10132</v>
      </c>
      <c r="B7370" t="s">
        <v>24</v>
      </c>
      <c r="C7370">
        <v>7648876604</v>
      </c>
      <c r="D7370" s="2">
        <v>1</v>
      </c>
      <c r="E7370" t="str">
        <f>"4574674200881415"</f>
        <v>4574674200881415</v>
      </c>
      <c r="F7370" t="str">
        <f>"605"</f>
        <v>605</v>
      </c>
      <c r="G7370">
        <v>1</v>
      </c>
      <c r="H7370">
        <v>2023</v>
      </c>
      <c r="I7370" t="s">
        <v>7485</v>
      </c>
    </row>
    <row r="7371" spans="1:9" x14ac:dyDescent="0.3">
      <c r="A7371" t="s">
        <v>10132</v>
      </c>
      <c r="B7371" t="s">
        <v>24</v>
      </c>
      <c r="C7371">
        <v>7648876604</v>
      </c>
      <c r="D7371" s="2">
        <v>1</v>
      </c>
      <c r="E7371" t="str">
        <f>"4574674200881431"</f>
        <v>4574674200881431</v>
      </c>
      <c r="F7371" t="str">
        <f>"977"</f>
        <v>977</v>
      </c>
      <c r="G7371">
        <v>1</v>
      </c>
      <c r="H7371">
        <v>2023</v>
      </c>
      <c r="I7371" t="s">
        <v>7486</v>
      </c>
    </row>
    <row r="7372" spans="1:9" x14ac:dyDescent="0.3">
      <c r="A7372" t="s">
        <v>10132</v>
      </c>
      <c r="B7372" t="s">
        <v>24</v>
      </c>
      <c r="C7372">
        <v>7648876604</v>
      </c>
      <c r="D7372" s="2">
        <v>1</v>
      </c>
      <c r="E7372" t="str">
        <f>"4574674200881449"</f>
        <v>4574674200881449</v>
      </c>
      <c r="F7372" t="str">
        <f>"885"</f>
        <v>885</v>
      </c>
      <c r="G7372">
        <v>1</v>
      </c>
      <c r="H7372">
        <v>2023</v>
      </c>
      <c r="I7372" t="s">
        <v>7487</v>
      </c>
    </row>
    <row r="7373" spans="1:9" x14ac:dyDescent="0.3">
      <c r="A7373" t="s">
        <v>10132</v>
      </c>
      <c r="B7373" t="s">
        <v>24</v>
      </c>
      <c r="C7373">
        <v>7648876604</v>
      </c>
      <c r="D7373" s="2">
        <v>1</v>
      </c>
      <c r="E7373" t="str">
        <f>"4574674200881498"</f>
        <v>4574674200881498</v>
      </c>
      <c r="F7373" t="str">
        <f>"571"</f>
        <v>571</v>
      </c>
      <c r="G7373">
        <v>1</v>
      </c>
      <c r="H7373">
        <v>2023</v>
      </c>
      <c r="I7373" t="s">
        <v>7488</v>
      </c>
    </row>
    <row r="7374" spans="1:9" x14ac:dyDescent="0.3">
      <c r="A7374" t="s">
        <v>10132</v>
      </c>
      <c r="B7374" t="s">
        <v>24</v>
      </c>
      <c r="C7374">
        <v>7648876604</v>
      </c>
      <c r="D7374" s="2">
        <v>1</v>
      </c>
      <c r="E7374" t="str">
        <f>"4574674200881621"</f>
        <v>4574674200881621</v>
      </c>
      <c r="F7374" t="str">
        <f>"995"</f>
        <v>995</v>
      </c>
      <c r="G7374">
        <v>1</v>
      </c>
      <c r="H7374">
        <v>2023</v>
      </c>
      <c r="I7374" t="s">
        <v>7489</v>
      </c>
    </row>
    <row r="7375" spans="1:9" x14ac:dyDescent="0.3">
      <c r="A7375" t="s">
        <v>10132</v>
      </c>
      <c r="B7375" t="s">
        <v>24</v>
      </c>
      <c r="C7375">
        <v>7648876604</v>
      </c>
      <c r="D7375" s="2">
        <v>1</v>
      </c>
      <c r="E7375" t="str">
        <f>"4574674200881647"</f>
        <v>4574674200881647</v>
      </c>
      <c r="F7375" t="str">
        <f>"296"</f>
        <v>296</v>
      </c>
      <c r="G7375">
        <v>1</v>
      </c>
      <c r="H7375">
        <v>2023</v>
      </c>
      <c r="I7375" t="s">
        <v>7490</v>
      </c>
    </row>
    <row r="7376" spans="1:9" x14ac:dyDescent="0.3">
      <c r="A7376" t="s">
        <v>10132</v>
      </c>
      <c r="B7376" t="s">
        <v>24</v>
      </c>
      <c r="C7376">
        <v>7648876604</v>
      </c>
      <c r="D7376" s="2">
        <v>1</v>
      </c>
      <c r="E7376" t="str">
        <f>"4574674200881639"</f>
        <v>4574674200881639</v>
      </c>
      <c r="F7376" t="str">
        <f>"475"</f>
        <v>475</v>
      </c>
      <c r="G7376">
        <v>1</v>
      </c>
      <c r="H7376">
        <v>2023</v>
      </c>
      <c r="I7376" t="s">
        <v>7491</v>
      </c>
    </row>
    <row r="7377" spans="1:9" x14ac:dyDescent="0.3">
      <c r="A7377" t="s">
        <v>10160</v>
      </c>
      <c r="B7377" t="s">
        <v>52</v>
      </c>
      <c r="C7377">
        <v>7648876604</v>
      </c>
      <c r="D7377" s="2">
        <v>1</v>
      </c>
      <c r="E7377" t="str">
        <f>"4574674200881571"</f>
        <v>4574674200881571</v>
      </c>
      <c r="F7377" t="str">
        <f>"355"</f>
        <v>355</v>
      </c>
      <c r="G7377">
        <v>1</v>
      </c>
      <c r="H7377">
        <v>2023</v>
      </c>
      <c r="I7377" t="s">
        <v>7492</v>
      </c>
    </row>
    <row r="7378" spans="1:9" x14ac:dyDescent="0.3">
      <c r="A7378" t="s">
        <v>10160</v>
      </c>
      <c r="B7378" t="s">
        <v>52</v>
      </c>
      <c r="C7378">
        <v>7648876604</v>
      </c>
      <c r="D7378" s="2">
        <v>1</v>
      </c>
      <c r="E7378" t="str">
        <f>"4574674200881597"</f>
        <v>4574674200881597</v>
      </c>
      <c r="F7378" t="str">
        <f>"458"</f>
        <v>458</v>
      </c>
      <c r="G7378">
        <v>1</v>
      </c>
      <c r="H7378">
        <v>2023</v>
      </c>
      <c r="I7378" t="s">
        <v>7493</v>
      </c>
    </row>
    <row r="7379" spans="1:9" x14ac:dyDescent="0.3">
      <c r="A7379" t="s">
        <v>10160</v>
      </c>
      <c r="B7379" t="s">
        <v>52</v>
      </c>
      <c r="C7379">
        <v>7648876604</v>
      </c>
      <c r="D7379" s="2">
        <v>1</v>
      </c>
      <c r="E7379" t="str">
        <f>"4574674200881803"</f>
        <v>4574674200881803</v>
      </c>
      <c r="F7379" t="str">
        <f>"479"</f>
        <v>479</v>
      </c>
      <c r="G7379">
        <v>1</v>
      </c>
      <c r="H7379">
        <v>2023</v>
      </c>
      <c r="I7379" t="s">
        <v>7494</v>
      </c>
    </row>
    <row r="7380" spans="1:9" x14ac:dyDescent="0.3">
      <c r="A7380" t="s">
        <v>10160</v>
      </c>
      <c r="B7380" t="s">
        <v>52</v>
      </c>
      <c r="C7380">
        <v>7648876604</v>
      </c>
      <c r="D7380" s="2">
        <v>1</v>
      </c>
      <c r="E7380" t="str">
        <f>"4574674200881852"</f>
        <v>4574674200881852</v>
      </c>
      <c r="F7380" t="str">
        <f>"276"</f>
        <v>276</v>
      </c>
      <c r="G7380">
        <v>1</v>
      </c>
      <c r="H7380">
        <v>2023</v>
      </c>
      <c r="I7380" t="s">
        <v>7495</v>
      </c>
    </row>
    <row r="7381" spans="1:9" x14ac:dyDescent="0.3">
      <c r="A7381" t="s">
        <v>10160</v>
      </c>
      <c r="B7381" t="s">
        <v>52</v>
      </c>
      <c r="C7381">
        <v>7648876604</v>
      </c>
      <c r="D7381" s="2">
        <v>1</v>
      </c>
      <c r="E7381" t="str">
        <f>"4574674200881936"</f>
        <v>4574674200881936</v>
      </c>
      <c r="F7381" t="str">
        <f>"631"</f>
        <v>631</v>
      </c>
      <c r="G7381">
        <v>1</v>
      </c>
      <c r="H7381">
        <v>2023</v>
      </c>
      <c r="I7381" t="s">
        <v>7496</v>
      </c>
    </row>
    <row r="7382" spans="1:9" x14ac:dyDescent="0.3">
      <c r="A7382" t="s">
        <v>10160</v>
      </c>
      <c r="B7382" t="s">
        <v>52</v>
      </c>
      <c r="C7382">
        <v>7648876604</v>
      </c>
      <c r="D7382" s="2">
        <v>1</v>
      </c>
      <c r="E7382" t="str">
        <f>"4574674200881720"</f>
        <v>4574674200881720</v>
      </c>
      <c r="F7382" t="str">
        <f>"573"</f>
        <v>573</v>
      </c>
      <c r="G7382">
        <v>1</v>
      </c>
      <c r="H7382">
        <v>2023</v>
      </c>
      <c r="I7382" t="s">
        <v>7497</v>
      </c>
    </row>
    <row r="7383" spans="1:9" x14ac:dyDescent="0.3">
      <c r="A7383" t="s">
        <v>10160</v>
      </c>
      <c r="B7383" t="s">
        <v>52</v>
      </c>
      <c r="C7383">
        <v>7648876604</v>
      </c>
      <c r="D7383" s="2">
        <v>1</v>
      </c>
      <c r="E7383" t="str">
        <f>"4574674200881969"</f>
        <v>4574674200881969</v>
      </c>
      <c r="F7383" t="str">
        <f>"779"</f>
        <v>779</v>
      </c>
      <c r="G7383">
        <v>1</v>
      </c>
      <c r="H7383">
        <v>2023</v>
      </c>
      <c r="I7383" t="s">
        <v>7498</v>
      </c>
    </row>
    <row r="7384" spans="1:9" x14ac:dyDescent="0.3">
      <c r="A7384" t="s">
        <v>10160</v>
      </c>
      <c r="B7384" t="s">
        <v>52</v>
      </c>
      <c r="C7384">
        <v>7648876604</v>
      </c>
      <c r="D7384" s="2">
        <v>1</v>
      </c>
      <c r="E7384" t="str">
        <f>"4574674200881977"</f>
        <v>4574674200881977</v>
      </c>
      <c r="F7384" t="str">
        <f>"877"</f>
        <v>877</v>
      </c>
      <c r="G7384">
        <v>1</v>
      </c>
      <c r="H7384">
        <v>2023</v>
      </c>
      <c r="I7384" t="s">
        <v>7499</v>
      </c>
    </row>
    <row r="7385" spans="1:9" x14ac:dyDescent="0.3">
      <c r="A7385" t="s">
        <v>10160</v>
      </c>
      <c r="B7385" t="s">
        <v>52</v>
      </c>
      <c r="C7385">
        <v>7648876604</v>
      </c>
      <c r="D7385" s="2">
        <v>1</v>
      </c>
      <c r="E7385" t="str">
        <f>"4574674200881993"</f>
        <v>4574674200881993</v>
      </c>
      <c r="F7385" t="str">
        <f>"633"</f>
        <v>633</v>
      </c>
      <c r="G7385">
        <v>1</v>
      </c>
      <c r="H7385">
        <v>2023</v>
      </c>
      <c r="I7385" t="s">
        <v>7500</v>
      </c>
    </row>
    <row r="7386" spans="1:9" x14ac:dyDescent="0.3">
      <c r="A7386" t="s">
        <v>10160</v>
      </c>
      <c r="B7386" t="s">
        <v>52</v>
      </c>
      <c r="C7386">
        <v>7648876604</v>
      </c>
      <c r="D7386" s="2">
        <v>1</v>
      </c>
      <c r="E7386" t="str">
        <f>"4574674200881761"</f>
        <v>4574674200881761</v>
      </c>
      <c r="F7386" t="str">
        <f>"295"</f>
        <v>295</v>
      </c>
      <c r="G7386">
        <v>1</v>
      </c>
      <c r="H7386">
        <v>2023</v>
      </c>
      <c r="I7386" t="s">
        <v>7501</v>
      </c>
    </row>
    <row r="7387" spans="1:9" x14ac:dyDescent="0.3">
      <c r="A7387" t="s">
        <v>10161</v>
      </c>
      <c r="B7387" t="s">
        <v>53</v>
      </c>
      <c r="C7387">
        <v>7648876604</v>
      </c>
      <c r="D7387" s="2">
        <v>1</v>
      </c>
      <c r="E7387" t="str">
        <f>"4574674200882082"</f>
        <v>4574674200882082</v>
      </c>
      <c r="F7387" t="str">
        <f>"261"</f>
        <v>261</v>
      </c>
      <c r="G7387">
        <v>1</v>
      </c>
      <c r="H7387">
        <v>2023</v>
      </c>
      <c r="I7387" t="s">
        <v>7502</v>
      </c>
    </row>
    <row r="7388" spans="1:9" x14ac:dyDescent="0.3">
      <c r="A7388" t="s">
        <v>10161</v>
      </c>
      <c r="B7388" t="s">
        <v>53</v>
      </c>
      <c r="C7388">
        <v>7648876604</v>
      </c>
      <c r="D7388" s="2">
        <v>1</v>
      </c>
      <c r="E7388" t="str">
        <f>"4574674200882207"</f>
        <v>4574674200882207</v>
      </c>
      <c r="F7388" t="str">
        <f>"837"</f>
        <v>837</v>
      </c>
      <c r="G7388">
        <v>1</v>
      </c>
      <c r="H7388">
        <v>2023</v>
      </c>
      <c r="I7388" t="s">
        <v>7503</v>
      </c>
    </row>
    <row r="7389" spans="1:9" x14ac:dyDescent="0.3">
      <c r="A7389" t="s">
        <v>10161</v>
      </c>
      <c r="B7389" t="s">
        <v>53</v>
      </c>
      <c r="C7389">
        <v>7648876604</v>
      </c>
      <c r="D7389" s="2">
        <v>1</v>
      </c>
      <c r="E7389" t="str">
        <f>"4574674200882124"</f>
        <v>4574674200882124</v>
      </c>
      <c r="F7389" t="str">
        <f>"098"</f>
        <v>098</v>
      </c>
      <c r="G7389">
        <v>1</v>
      </c>
      <c r="H7389">
        <v>2023</v>
      </c>
      <c r="I7389" t="s">
        <v>7504</v>
      </c>
    </row>
    <row r="7390" spans="1:9" x14ac:dyDescent="0.3">
      <c r="A7390" t="s">
        <v>10161</v>
      </c>
      <c r="B7390" t="s">
        <v>53</v>
      </c>
      <c r="C7390">
        <v>7648876604</v>
      </c>
      <c r="D7390" s="2">
        <v>1</v>
      </c>
      <c r="E7390" t="str">
        <f>"4574674200882116"</f>
        <v>4574674200882116</v>
      </c>
      <c r="F7390" t="str">
        <f>"999"</f>
        <v>999</v>
      </c>
      <c r="G7390">
        <v>1</v>
      </c>
      <c r="H7390">
        <v>2023</v>
      </c>
      <c r="I7390" t="s">
        <v>7505</v>
      </c>
    </row>
    <row r="7391" spans="1:9" x14ac:dyDescent="0.3">
      <c r="A7391" t="s">
        <v>10161</v>
      </c>
      <c r="B7391" t="s">
        <v>53</v>
      </c>
      <c r="C7391">
        <v>7648876604</v>
      </c>
      <c r="D7391" s="2">
        <v>1</v>
      </c>
      <c r="E7391" t="str">
        <f>"4574674200882181"</f>
        <v>4574674200882181</v>
      </c>
      <c r="F7391" t="str">
        <f>"051"</f>
        <v>051</v>
      </c>
      <c r="G7391">
        <v>1</v>
      </c>
      <c r="H7391">
        <v>2023</v>
      </c>
      <c r="I7391" t="s">
        <v>7506</v>
      </c>
    </row>
    <row r="7392" spans="1:9" x14ac:dyDescent="0.3">
      <c r="A7392" t="s">
        <v>10161</v>
      </c>
      <c r="B7392" t="s">
        <v>53</v>
      </c>
      <c r="C7392">
        <v>7648876604</v>
      </c>
      <c r="D7392" s="2">
        <v>1</v>
      </c>
      <c r="E7392" t="str">
        <f>"4574674200882249"</f>
        <v>4574674200882249</v>
      </c>
      <c r="F7392" t="str">
        <f>"164"</f>
        <v>164</v>
      </c>
      <c r="G7392">
        <v>1</v>
      </c>
      <c r="H7392">
        <v>2023</v>
      </c>
      <c r="I7392" t="s">
        <v>7507</v>
      </c>
    </row>
    <row r="7393" spans="1:9" x14ac:dyDescent="0.3">
      <c r="A7393" t="s">
        <v>10161</v>
      </c>
      <c r="B7393" t="s">
        <v>53</v>
      </c>
      <c r="C7393">
        <v>7648876604</v>
      </c>
      <c r="D7393" s="2">
        <v>1</v>
      </c>
      <c r="E7393" t="str">
        <f>"4574674200882447"</f>
        <v>4574674200882447</v>
      </c>
      <c r="F7393" t="str">
        <f>"689"</f>
        <v>689</v>
      </c>
      <c r="G7393">
        <v>1</v>
      </c>
      <c r="H7393">
        <v>2023</v>
      </c>
      <c r="I7393" t="s">
        <v>7508</v>
      </c>
    </row>
    <row r="7394" spans="1:9" x14ac:dyDescent="0.3">
      <c r="A7394" t="s">
        <v>10161</v>
      </c>
      <c r="B7394" t="s">
        <v>53</v>
      </c>
      <c r="C7394">
        <v>7648876604</v>
      </c>
      <c r="D7394" s="2">
        <v>1</v>
      </c>
      <c r="E7394" t="str">
        <f>"4574674200882298"</f>
        <v>4574674200882298</v>
      </c>
      <c r="F7394" t="str">
        <f>"811"</f>
        <v>811</v>
      </c>
      <c r="G7394">
        <v>1</v>
      </c>
      <c r="H7394">
        <v>2023</v>
      </c>
      <c r="I7394" t="s">
        <v>7509</v>
      </c>
    </row>
    <row r="7395" spans="1:9" x14ac:dyDescent="0.3">
      <c r="A7395" t="s">
        <v>10161</v>
      </c>
      <c r="B7395" t="s">
        <v>53</v>
      </c>
      <c r="C7395">
        <v>7648876604</v>
      </c>
      <c r="D7395" s="2">
        <v>1</v>
      </c>
      <c r="E7395" t="str">
        <f>"4574674200882546"</f>
        <v>4574674200882546</v>
      </c>
      <c r="F7395" t="str">
        <f>"688"</f>
        <v>688</v>
      </c>
      <c r="G7395">
        <v>1</v>
      </c>
      <c r="H7395">
        <v>2023</v>
      </c>
      <c r="I7395" t="s">
        <v>7510</v>
      </c>
    </row>
    <row r="7396" spans="1:9" x14ac:dyDescent="0.3">
      <c r="A7396" t="s">
        <v>10161</v>
      </c>
      <c r="B7396" t="s">
        <v>53</v>
      </c>
      <c r="C7396">
        <v>7648876604</v>
      </c>
      <c r="D7396" s="2">
        <v>1</v>
      </c>
      <c r="E7396" t="str">
        <f>"4574674200882553"</f>
        <v>4574674200882553</v>
      </c>
      <c r="F7396" t="str">
        <f>"315"</f>
        <v>315</v>
      </c>
      <c r="G7396">
        <v>1</v>
      </c>
      <c r="H7396">
        <v>2023</v>
      </c>
      <c r="I7396" t="s">
        <v>7511</v>
      </c>
    </row>
    <row r="7397" spans="1:9" x14ac:dyDescent="0.3">
      <c r="A7397" t="s">
        <v>10148</v>
      </c>
      <c r="B7397" t="s">
        <v>40</v>
      </c>
      <c r="C7397">
        <v>7648876604</v>
      </c>
      <c r="D7397" s="2">
        <v>1</v>
      </c>
      <c r="E7397" t="str">
        <f>"4574674200882579"</f>
        <v>4574674200882579</v>
      </c>
      <c r="F7397" t="str">
        <f>"787"</f>
        <v>787</v>
      </c>
      <c r="G7397">
        <v>1</v>
      </c>
      <c r="H7397">
        <v>2023</v>
      </c>
      <c r="I7397" t="s">
        <v>7512</v>
      </c>
    </row>
    <row r="7398" spans="1:9" x14ac:dyDescent="0.3">
      <c r="A7398" t="s">
        <v>10148</v>
      </c>
      <c r="B7398" t="s">
        <v>40</v>
      </c>
      <c r="C7398">
        <v>7648876604</v>
      </c>
      <c r="D7398" s="2">
        <v>1</v>
      </c>
      <c r="E7398" t="str">
        <f>"4574674200882603"</f>
        <v>4574674200882603</v>
      </c>
      <c r="F7398" t="str">
        <f>"658"</f>
        <v>658</v>
      </c>
      <c r="G7398">
        <v>1</v>
      </c>
      <c r="H7398">
        <v>2023</v>
      </c>
      <c r="I7398" t="s">
        <v>7513</v>
      </c>
    </row>
    <row r="7399" spans="1:9" x14ac:dyDescent="0.3">
      <c r="A7399" t="s">
        <v>10148</v>
      </c>
      <c r="B7399" t="s">
        <v>40</v>
      </c>
      <c r="C7399">
        <v>7648876604</v>
      </c>
      <c r="D7399" s="2">
        <v>1</v>
      </c>
      <c r="E7399" t="str">
        <f>"4574674200882348"</f>
        <v>4574674200882348</v>
      </c>
      <c r="F7399" t="str">
        <f>"526"</f>
        <v>526</v>
      </c>
      <c r="G7399">
        <v>1</v>
      </c>
      <c r="H7399">
        <v>2023</v>
      </c>
      <c r="I7399" t="s">
        <v>7514</v>
      </c>
    </row>
    <row r="7400" spans="1:9" x14ac:dyDescent="0.3">
      <c r="A7400" t="s">
        <v>10148</v>
      </c>
      <c r="B7400" t="s">
        <v>40</v>
      </c>
      <c r="C7400">
        <v>7648876604</v>
      </c>
      <c r="D7400" s="2">
        <v>1</v>
      </c>
      <c r="E7400" t="str">
        <f>"4574674200882363"</f>
        <v>4574674200882363</v>
      </c>
      <c r="F7400" t="str">
        <f>"346"</f>
        <v>346</v>
      </c>
      <c r="G7400">
        <v>1</v>
      </c>
      <c r="H7400">
        <v>2023</v>
      </c>
      <c r="I7400" t="s">
        <v>7515</v>
      </c>
    </row>
    <row r="7401" spans="1:9" x14ac:dyDescent="0.3">
      <c r="A7401" t="s">
        <v>10148</v>
      </c>
      <c r="B7401" t="s">
        <v>40</v>
      </c>
      <c r="C7401">
        <v>7648876604</v>
      </c>
      <c r="D7401" s="2">
        <v>1</v>
      </c>
      <c r="E7401" t="str">
        <f>"4574674200882686"</f>
        <v>4574674200882686</v>
      </c>
      <c r="F7401" t="str">
        <f>"123"</f>
        <v>123</v>
      </c>
      <c r="G7401">
        <v>1</v>
      </c>
      <c r="H7401">
        <v>2023</v>
      </c>
      <c r="I7401" t="s">
        <v>7516</v>
      </c>
    </row>
    <row r="7402" spans="1:9" x14ac:dyDescent="0.3">
      <c r="A7402" t="s">
        <v>10148</v>
      </c>
      <c r="B7402" t="s">
        <v>40</v>
      </c>
      <c r="C7402">
        <v>7648876604</v>
      </c>
      <c r="D7402" s="2">
        <v>1</v>
      </c>
      <c r="E7402" t="str">
        <f>"4574674200882728"</f>
        <v>4574674200882728</v>
      </c>
      <c r="F7402" t="str">
        <f>"599"</f>
        <v>599</v>
      </c>
      <c r="G7402">
        <v>1</v>
      </c>
      <c r="H7402">
        <v>2023</v>
      </c>
      <c r="I7402" t="s">
        <v>7517</v>
      </c>
    </row>
    <row r="7403" spans="1:9" x14ac:dyDescent="0.3">
      <c r="A7403" t="s">
        <v>10148</v>
      </c>
      <c r="B7403" t="s">
        <v>40</v>
      </c>
      <c r="C7403">
        <v>7648876604</v>
      </c>
      <c r="D7403" s="2">
        <v>1</v>
      </c>
      <c r="E7403" t="str">
        <f>"4574674200882736"</f>
        <v>4574674200882736</v>
      </c>
      <c r="F7403" t="str">
        <f>"669"</f>
        <v>669</v>
      </c>
      <c r="G7403">
        <v>1</v>
      </c>
      <c r="H7403">
        <v>2023</v>
      </c>
      <c r="I7403" t="s">
        <v>7518</v>
      </c>
    </row>
    <row r="7404" spans="1:9" x14ac:dyDescent="0.3">
      <c r="A7404" t="s">
        <v>10148</v>
      </c>
      <c r="B7404" t="s">
        <v>40</v>
      </c>
      <c r="C7404">
        <v>7648876604</v>
      </c>
      <c r="D7404" s="2">
        <v>1</v>
      </c>
      <c r="E7404" t="str">
        <f>"4574674200882769"</f>
        <v>4574674200882769</v>
      </c>
      <c r="F7404" t="str">
        <f>"549"</f>
        <v>549</v>
      </c>
      <c r="G7404">
        <v>1</v>
      </c>
      <c r="H7404">
        <v>2023</v>
      </c>
      <c r="I7404" t="s">
        <v>7519</v>
      </c>
    </row>
    <row r="7405" spans="1:9" x14ac:dyDescent="0.3">
      <c r="A7405" t="s">
        <v>10148</v>
      </c>
      <c r="B7405" t="s">
        <v>40</v>
      </c>
      <c r="C7405">
        <v>7648876604</v>
      </c>
      <c r="D7405" s="2">
        <v>1</v>
      </c>
      <c r="E7405" t="str">
        <f>"4574674200883031"</f>
        <v>4574674200883031</v>
      </c>
      <c r="F7405" t="str">
        <f>"337"</f>
        <v>337</v>
      </c>
      <c r="G7405">
        <v>1</v>
      </c>
      <c r="H7405">
        <v>2023</v>
      </c>
      <c r="I7405" t="s">
        <v>7520</v>
      </c>
    </row>
    <row r="7406" spans="1:9" x14ac:dyDescent="0.3">
      <c r="A7406" t="s">
        <v>10148</v>
      </c>
      <c r="B7406" t="s">
        <v>40</v>
      </c>
      <c r="C7406">
        <v>7648876604</v>
      </c>
      <c r="D7406" s="2">
        <v>1</v>
      </c>
      <c r="E7406" t="str">
        <f>"4574674200883114"</f>
        <v>4574674200883114</v>
      </c>
      <c r="F7406" t="str">
        <f>"294"</f>
        <v>294</v>
      </c>
      <c r="G7406">
        <v>1</v>
      </c>
      <c r="H7406">
        <v>2023</v>
      </c>
      <c r="I7406" t="s">
        <v>7521</v>
      </c>
    </row>
    <row r="7407" spans="1:9" x14ac:dyDescent="0.3">
      <c r="A7407" t="s">
        <v>10149</v>
      </c>
      <c r="B7407" t="s">
        <v>41</v>
      </c>
      <c r="C7407">
        <v>7648876604</v>
      </c>
      <c r="D7407" s="2">
        <v>1</v>
      </c>
      <c r="E7407" t="str">
        <f>"4574674200883122"</f>
        <v>4574674200883122</v>
      </c>
      <c r="F7407" t="str">
        <f>"661"</f>
        <v>661</v>
      </c>
      <c r="G7407">
        <v>1</v>
      </c>
      <c r="H7407">
        <v>2023</v>
      </c>
      <c r="I7407" t="s">
        <v>7522</v>
      </c>
    </row>
    <row r="7408" spans="1:9" x14ac:dyDescent="0.3">
      <c r="A7408" t="s">
        <v>10149</v>
      </c>
      <c r="B7408" t="s">
        <v>41</v>
      </c>
      <c r="C7408">
        <v>7648876604</v>
      </c>
      <c r="D7408" s="2">
        <v>1</v>
      </c>
      <c r="E7408" t="str">
        <f>"4574674200883171"</f>
        <v>4574674200883171</v>
      </c>
      <c r="F7408" t="str">
        <f>"627"</f>
        <v>627</v>
      </c>
      <c r="G7408">
        <v>1</v>
      </c>
      <c r="H7408">
        <v>2023</v>
      </c>
      <c r="I7408" t="s">
        <v>7523</v>
      </c>
    </row>
    <row r="7409" spans="1:9" x14ac:dyDescent="0.3">
      <c r="A7409" t="s">
        <v>10149</v>
      </c>
      <c r="B7409" t="s">
        <v>41</v>
      </c>
      <c r="C7409">
        <v>7648876604</v>
      </c>
      <c r="D7409" s="2">
        <v>1</v>
      </c>
      <c r="E7409" t="str">
        <f>"4574674200882868"</f>
        <v>4574674200882868</v>
      </c>
      <c r="F7409" t="str">
        <f>"636"</f>
        <v>636</v>
      </c>
      <c r="G7409">
        <v>1</v>
      </c>
      <c r="H7409">
        <v>2023</v>
      </c>
      <c r="I7409" t="s">
        <v>7524</v>
      </c>
    </row>
    <row r="7410" spans="1:9" x14ac:dyDescent="0.3">
      <c r="A7410" t="s">
        <v>10149</v>
      </c>
      <c r="B7410" t="s">
        <v>41</v>
      </c>
      <c r="C7410">
        <v>7648876604</v>
      </c>
      <c r="D7410" s="2">
        <v>1</v>
      </c>
      <c r="E7410" t="str">
        <f>"4574674200882884"</f>
        <v>4574674200882884</v>
      </c>
      <c r="F7410" t="str">
        <f>"067"</f>
        <v>067</v>
      </c>
      <c r="G7410">
        <v>1</v>
      </c>
      <c r="H7410">
        <v>2023</v>
      </c>
      <c r="I7410" t="s">
        <v>7525</v>
      </c>
    </row>
    <row r="7411" spans="1:9" x14ac:dyDescent="0.3">
      <c r="A7411" t="s">
        <v>10149</v>
      </c>
      <c r="B7411" t="s">
        <v>41</v>
      </c>
      <c r="C7411">
        <v>7648876604</v>
      </c>
      <c r="D7411" s="2">
        <v>1</v>
      </c>
      <c r="E7411" t="str">
        <f>"4574674200883288"</f>
        <v>4574674200883288</v>
      </c>
      <c r="F7411" t="str">
        <f>"549"</f>
        <v>549</v>
      </c>
      <c r="G7411">
        <v>1</v>
      </c>
      <c r="H7411">
        <v>2023</v>
      </c>
      <c r="I7411" t="s">
        <v>7526</v>
      </c>
    </row>
    <row r="7412" spans="1:9" x14ac:dyDescent="0.3">
      <c r="A7412" t="s">
        <v>10149</v>
      </c>
      <c r="B7412" t="s">
        <v>41</v>
      </c>
      <c r="C7412">
        <v>7648876604</v>
      </c>
      <c r="D7412" s="2">
        <v>1</v>
      </c>
      <c r="E7412" t="str">
        <f>"4574674200883270"</f>
        <v>4574674200883270</v>
      </c>
      <c r="F7412" t="str">
        <f>"273"</f>
        <v>273</v>
      </c>
      <c r="G7412">
        <v>1</v>
      </c>
      <c r="H7412">
        <v>2023</v>
      </c>
      <c r="I7412" t="s">
        <v>7527</v>
      </c>
    </row>
    <row r="7413" spans="1:9" x14ac:dyDescent="0.3">
      <c r="A7413" t="s">
        <v>10149</v>
      </c>
      <c r="B7413" t="s">
        <v>41</v>
      </c>
      <c r="C7413">
        <v>7648876604</v>
      </c>
      <c r="D7413" s="2">
        <v>1</v>
      </c>
      <c r="E7413" t="str">
        <f>"4574674200882934"</f>
        <v>4574674200882934</v>
      </c>
      <c r="F7413" t="str">
        <f>"918"</f>
        <v>918</v>
      </c>
      <c r="G7413">
        <v>1</v>
      </c>
      <c r="H7413">
        <v>2023</v>
      </c>
      <c r="I7413" t="s">
        <v>7528</v>
      </c>
    </row>
    <row r="7414" spans="1:9" x14ac:dyDescent="0.3">
      <c r="A7414" t="s">
        <v>10149</v>
      </c>
      <c r="B7414" t="s">
        <v>41</v>
      </c>
      <c r="C7414">
        <v>7648876604</v>
      </c>
      <c r="D7414" s="2">
        <v>1</v>
      </c>
      <c r="E7414" t="str">
        <f>"4574674200883346"</f>
        <v>4574674200883346</v>
      </c>
      <c r="F7414" t="str">
        <f>"401"</f>
        <v>401</v>
      </c>
      <c r="G7414">
        <v>1</v>
      </c>
      <c r="H7414">
        <v>2023</v>
      </c>
      <c r="I7414" t="s">
        <v>7529</v>
      </c>
    </row>
    <row r="7415" spans="1:9" x14ac:dyDescent="0.3">
      <c r="A7415" t="s">
        <v>10149</v>
      </c>
      <c r="B7415" t="s">
        <v>41</v>
      </c>
      <c r="C7415">
        <v>7648876604</v>
      </c>
      <c r="D7415" s="2">
        <v>1</v>
      </c>
      <c r="E7415" t="str">
        <f>"4574674200883395"</f>
        <v>4574674200883395</v>
      </c>
      <c r="F7415" t="str">
        <f>"295"</f>
        <v>295</v>
      </c>
      <c r="G7415">
        <v>1</v>
      </c>
      <c r="H7415">
        <v>2023</v>
      </c>
      <c r="I7415" t="s">
        <v>7530</v>
      </c>
    </row>
    <row r="7416" spans="1:9" x14ac:dyDescent="0.3">
      <c r="A7416" t="s">
        <v>10149</v>
      </c>
      <c r="B7416" t="s">
        <v>41</v>
      </c>
      <c r="C7416">
        <v>7648876604</v>
      </c>
      <c r="D7416" s="2">
        <v>1</v>
      </c>
      <c r="E7416" t="str">
        <f>"4574674200883437"</f>
        <v>4574674200883437</v>
      </c>
      <c r="F7416" t="str">
        <f>"819"</f>
        <v>819</v>
      </c>
      <c r="G7416">
        <v>1</v>
      </c>
      <c r="H7416">
        <v>2023</v>
      </c>
      <c r="I7416" t="s">
        <v>7531</v>
      </c>
    </row>
    <row r="7417" spans="1:9" x14ac:dyDescent="0.3">
      <c r="A7417" t="s">
        <v>10150</v>
      </c>
      <c r="B7417" t="s">
        <v>42</v>
      </c>
      <c r="C7417">
        <v>7648876604</v>
      </c>
      <c r="D7417" s="2">
        <v>1</v>
      </c>
      <c r="E7417" t="str">
        <f>"4574674200883445"</f>
        <v>4574674200883445</v>
      </c>
      <c r="F7417" t="str">
        <f>"751"</f>
        <v>751</v>
      </c>
      <c r="G7417">
        <v>1</v>
      </c>
      <c r="H7417">
        <v>2023</v>
      </c>
      <c r="I7417" t="s">
        <v>7532</v>
      </c>
    </row>
    <row r="7418" spans="1:9" x14ac:dyDescent="0.3">
      <c r="A7418" t="s">
        <v>10150</v>
      </c>
      <c r="B7418" t="s">
        <v>42</v>
      </c>
      <c r="C7418">
        <v>7648876604</v>
      </c>
      <c r="D7418" s="2">
        <v>1</v>
      </c>
      <c r="E7418" t="str">
        <f>"4574674200882967"</f>
        <v>4574674200882967</v>
      </c>
      <c r="F7418" t="str">
        <f>"632"</f>
        <v>632</v>
      </c>
      <c r="G7418">
        <v>1</v>
      </c>
      <c r="H7418">
        <v>2023</v>
      </c>
      <c r="I7418" t="s">
        <v>7533</v>
      </c>
    </row>
    <row r="7419" spans="1:9" x14ac:dyDescent="0.3">
      <c r="A7419" t="s">
        <v>10150</v>
      </c>
      <c r="B7419" t="s">
        <v>42</v>
      </c>
      <c r="C7419">
        <v>7648876604</v>
      </c>
      <c r="D7419" s="2">
        <v>1</v>
      </c>
      <c r="E7419" t="str">
        <f>"4574674200883544"</f>
        <v>4574674200883544</v>
      </c>
      <c r="F7419" t="str">
        <f>"802"</f>
        <v>802</v>
      </c>
      <c r="G7419">
        <v>1</v>
      </c>
      <c r="H7419">
        <v>2023</v>
      </c>
      <c r="I7419" t="s">
        <v>7534</v>
      </c>
    </row>
    <row r="7420" spans="1:9" x14ac:dyDescent="0.3">
      <c r="A7420" t="s">
        <v>10150</v>
      </c>
      <c r="B7420" t="s">
        <v>42</v>
      </c>
      <c r="C7420">
        <v>7648876604</v>
      </c>
      <c r="D7420" s="2">
        <v>1</v>
      </c>
      <c r="E7420" t="str">
        <f>"4574674200883551"</f>
        <v>4574674200883551</v>
      </c>
      <c r="F7420" t="str">
        <f>"861"</f>
        <v>861</v>
      </c>
      <c r="G7420">
        <v>1</v>
      </c>
      <c r="H7420">
        <v>2023</v>
      </c>
      <c r="I7420" t="s">
        <v>7535</v>
      </c>
    </row>
    <row r="7421" spans="1:9" x14ac:dyDescent="0.3">
      <c r="A7421" t="s">
        <v>10150</v>
      </c>
      <c r="B7421" t="s">
        <v>42</v>
      </c>
      <c r="C7421">
        <v>7648876604</v>
      </c>
      <c r="D7421" s="2">
        <v>1</v>
      </c>
      <c r="E7421" t="str">
        <f>"4574674200883627"</f>
        <v>4574674200883627</v>
      </c>
      <c r="F7421" t="str">
        <f>"961"</f>
        <v>961</v>
      </c>
      <c r="G7421">
        <v>1</v>
      </c>
      <c r="H7421">
        <v>2023</v>
      </c>
      <c r="I7421" t="s">
        <v>7536</v>
      </c>
    </row>
    <row r="7422" spans="1:9" x14ac:dyDescent="0.3">
      <c r="A7422" t="s">
        <v>10150</v>
      </c>
      <c r="B7422" t="s">
        <v>42</v>
      </c>
      <c r="C7422">
        <v>7648876604</v>
      </c>
      <c r="D7422" s="2">
        <v>1</v>
      </c>
      <c r="E7422" t="str">
        <f>"4574674200883668"</f>
        <v>4574674200883668</v>
      </c>
      <c r="F7422" t="str">
        <f>"699"</f>
        <v>699</v>
      </c>
      <c r="G7422">
        <v>1</v>
      </c>
      <c r="H7422">
        <v>2023</v>
      </c>
      <c r="I7422" t="s">
        <v>7537</v>
      </c>
    </row>
    <row r="7423" spans="1:9" x14ac:dyDescent="0.3">
      <c r="A7423" t="s">
        <v>10150</v>
      </c>
      <c r="B7423" t="s">
        <v>42</v>
      </c>
      <c r="C7423">
        <v>7648876604</v>
      </c>
      <c r="D7423" s="2">
        <v>1</v>
      </c>
      <c r="E7423" t="str">
        <f>"4574674200883593"</f>
        <v>4574674200883593</v>
      </c>
      <c r="F7423" t="str">
        <f>"684"</f>
        <v>684</v>
      </c>
      <c r="G7423">
        <v>1</v>
      </c>
      <c r="H7423">
        <v>2023</v>
      </c>
      <c r="I7423" t="s">
        <v>7538</v>
      </c>
    </row>
    <row r="7424" spans="1:9" x14ac:dyDescent="0.3">
      <c r="A7424" t="s">
        <v>10150</v>
      </c>
      <c r="B7424" t="s">
        <v>42</v>
      </c>
      <c r="C7424">
        <v>7648876604</v>
      </c>
      <c r="D7424" s="2">
        <v>1</v>
      </c>
      <c r="E7424" t="str">
        <f>"4574674200883809"</f>
        <v>4574674200883809</v>
      </c>
      <c r="F7424" t="str">
        <f>"658"</f>
        <v>658</v>
      </c>
      <c r="G7424">
        <v>1</v>
      </c>
      <c r="H7424">
        <v>2023</v>
      </c>
      <c r="I7424" t="s">
        <v>7539</v>
      </c>
    </row>
    <row r="7425" spans="1:9" x14ac:dyDescent="0.3">
      <c r="A7425" t="s">
        <v>10150</v>
      </c>
      <c r="B7425" t="s">
        <v>42</v>
      </c>
      <c r="C7425">
        <v>7648876604</v>
      </c>
      <c r="D7425" s="2">
        <v>1</v>
      </c>
      <c r="E7425" t="str">
        <f>"4574674200883874"</f>
        <v>4574674200883874</v>
      </c>
      <c r="F7425" t="str">
        <f>"481"</f>
        <v>481</v>
      </c>
      <c r="G7425">
        <v>1</v>
      </c>
      <c r="H7425">
        <v>2023</v>
      </c>
      <c r="I7425" t="s">
        <v>7540</v>
      </c>
    </row>
    <row r="7426" spans="1:9" x14ac:dyDescent="0.3">
      <c r="A7426" t="s">
        <v>10150</v>
      </c>
      <c r="B7426" t="s">
        <v>42</v>
      </c>
      <c r="C7426">
        <v>7648876604</v>
      </c>
      <c r="D7426" s="2">
        <v>1</v>
      </c>
      <c r="E7426" t="str">
        <f>"4574674200883908"</f>
        <v>4574674200883908</v>
      </c>
      <c r="F7426" t="str">
        <f>"212"</f>
        <v>212</v>
      </c>
      <c r="G7426">
        <v>1</v>
      </c>
      <c r="H7426">
        <v>2023</v>
      </c>
      <c r="I7426" t="s">
        <v>7541</v>
      </c>
    </row>
    <row r="7427" spans="1:9" x14ac:dyDescent="0.3">
      <c r="A7427" t="s">
        <v>10151</v>
      </c>
      <c r="B7427" t="s">
        <v>43</v>
      </c>
      <c r="C7427">
        <v>7648876604</v>
      </c>
      <c r="D7427" s="2">
        <v>1</v>
      </c>
      <c r="E7427" t="str">
        <f>"4574674200883700"</f>
        <v>4574674200883700</v>
      </c>
      <c r="F7427" t="str">
        <f>"578"</f>
        <v>578</v>
      </c>
      <c r="G7427">
        <v>1</v>
      </c>
      <c r="H7427">
        <v>2023</v>
      </c>
      <c r="I7427" t="s">
        <v>7542</v>
      </c>
    </row>
    <row r="7428" spans="1:9" x14ac:dyDescent="0.3">
      <c r="A7428" t="s">
        <v>10151</v>
      </c>
      <c r="B7428" t="s">
        <v>43</v>
      </c>
      <c r="C7428">
        <v>7648876604</v>
      </c>
      <c r="D7428" s="2">
        <v>1</v>
      </c>
      <c r="E7428" t="str">
        <f>"4574674200883940"</f>
        <v>4574674200883940</v>
      </c>
      <c r="F7428" t="str">
        <f>"382"</f>
        <v>382</v>
      </c>
      <c r="G7428">
        <v>1</v>
      </c>
      <c r="H7428">
        <v>2023</v>
      </c>
      <c r="I7428" t="s">
        <v>7543</v>
      </c>
    </row>
    <row r="7429" spans="1:9" x14ac:dyDescent="0.3">
      <c r="A7429" t="s">
        <v>10151</v>
      </c>
      <c r="B7429" t="s">
        <v>43</v>
      </c>
      <c r="C7429">
        <v>7648876604</v>
      </c>
      <c r="D7429" s="2">
        <v>1</v>
      </c>
      <c r="E7429" t="str">
        <f>"4574674200883981"</f>
        <v>4574674200883981</v>
      </c>
      <c r="F7429" t="str">
        <f>"334"</f>
        <v>334</v>
      </c>
      <c r="G7429">
        <v>1</v>
      </c>
      <c r="H7429">
        <v>2023</v>
      </c>
      <c r="I7429" t="s">
        <v>7544</v>
      </c>
    </row>
    <row r="7430" spans="1:9" x14ac:dyDescent="0.3">
      <c r="A7430" t="s">
        <v>10151</v>
      </c>
      <c r="B7430" t="s">
        <v>43</v>
      </c>
      <c r="C7430">
        <v>7648876604</v>
      </c>
      <c r="D7430" s="2">
        <v>1</v>
      </c>
      <c r="E7430" t="str">
        <f>"4574674200884005"</f>
        <v>4574674200884005</v>
      </c>
      <c r="F7430" t="str">
        <f>"109"</f>
        <v>109</v>
      </c>
      <c r="G7430">
        <v>1</v>
      </c>
      <c r="H7430">
        <v>2023</v>
      </c>
      <c r="I7430" t="s">
        <v>7545</v>
      </c>
    </row>
    <row r="7431" spans="1:9" x14ac:dyDescent="0.3">
      <c r="A7431" t="s">
        <v>10151</v>
      </c>
      <c r="B7431" t="s">
        <v>43</v>
      </c>
      <c r="C7431">
        <v>7648876604</v>
      </c>
      <c r="D7431" s="2">
        <v>1</v>
      </c>
      <c r="E7431" t="str">
        <f>"4574674200883767"</f>
        <v>4574674200883767</v>
      </c>
      <c r="F7431" t="str">
        <f>"410"</f>
        <v>410</v>
      </c>
      <c r="G7431">
        <v>1</v>
      </c>
      <c r="H7431">
        <v>2023</v>
      </c>
      <c r="I7431" t="s">
        <v>7546</v>
      </c>
    </row>
    <row r="7432" spans="1:9" x14ac:dyDescent="0.3">
      <c r="A7432" t="s">
        <v>10151</v>
      </c>
      <c r="B7432" t="s">
        <v>43</v>
      </c>
      <c r="C7432">
        <v>7648876604</v>
      </c>
      <c r="D7432" s="2">
        <v>1</v>
      </c>
      <c r="E7432" t="str">
        <f>"4574674200883783"</f>
        <v>4574674200883783</v>
      </c>
      <c r="F7432" t="str">
        <f>"115"</f>
        <v>115</v>
      </c>
      <c r="G7432">
        <v>1</v>
      </c>
      <c r="H7432">
        <v>2023</v>
      </c>
      <c r="I7432" t="s">
        <v>7547</v>
      </c>
    </row>
    <row r="7433" spans="1:9" x14ac:dyDescent="0.3">
      <c r="A7433" t="s">
        <v>10151</v>
      </c>
      <c r="B7433" t="s">
        <v>43</v>
      </c>
      <c r="C7433">
        <v>7648876604</v>
      </c>
      <c r="D7433" s="2">
        <v>1</v>
      </c>
      <c r="E7433" t="str">
        <f>"4574674200884062"</f>
        <v>4574674200884062</v>
      </c>
      <c r="F7433" t="str">
        <f>"502"</f>
        <v>502</v>
      </c>
      <c r="G7433">
        <v>1</v>
      </c>
      <c r="H7433">
        <v>2023</v>
      </c>
      <c r="I7433" t="s">
        <v>7548</v>
      </c>
    </row>
    <row r="7434" spans="1:9" x14ac:dyDescent="0.3">
      <c r="A7434" t="s">
        <v>10151</v>
      </c>
      <c r="B7434" t="s">
        <v>43</v>
      </c>
      <c r="C7434">
        <v>7648876604</v>
      </c>
      <c r="D7434" s="2">
        <v>1</v>
      </c>
      <c r="E7434" t="str">
        <f>"4574674200884104"</f>
        <v>4574674200884104</v>
      </c>
      <c r="F7434" t="str">
        <f>"486"</f>
        <v>486</v>
      </c>
      <c r="G7434">
        <v>1</v>
      </c>
      <c r="H7434">
        <v>2023</v>
      </c>
      <c r="I7434" t="s">
        <v>7549</v>
      </c>
    </row>
    <row r="7435" spans="1:9" x14ac:dyDescent="0.3">
      <c r="A7435" t="s">
        <v>10151</v>
      </c>
      <c r="B7435" t="s">
        <v>43</v>
      </c>
      <c r="C7435">
        <v>7648876604</v>
      </c>
      <c r="D7435" s="2">
        <v>1</v>
      </c>
      <c r="E7435" t="str">
        <f>"4574674200884146"</f>
        <v>4574674200884146</v>
      </c>
      <c r="F7435" t="str">
        <f>"026"</f>
        <v>026</v>
      </c>
      <c r="G7435">
        <v>1</v>
      </c>
      <c r="H7435">
        <v>2023</v>
      </c>
      <c r="I7435" t="s">
        <v>7550</v>
      </c>
    </row>
    <row r="7436" spans="1:9" x14ac:dyDescent="0.3">
      <c r="A7436" t="s">
        <v>10151</v>
      </c>
      <c r="B7436" t="s">
        <v>43</v>
      </c>
      <c r="C7436">
        <v>7648876604</v>
      </c>
      <c r="D7436" s="2">
        <v>1</v>
      </c>
      <c r="E7436" t="str">
        <f>"4574674200884120"</f>
        <v>4574674200884120</v>
      </c>
      <c r="F7436" t="str">
        <f>"812"</f>
        <v>812</v>
      </c>
      <c r="G7436">
        <v>1</v>
      </c>
      <c r="H7436">
        <v>2023</v>
      </c>
      <c r="I7436" t="s">
        <v>7551</v>
      </c>
    </row>
    <row r="7437" spans="1:9" x14ac:dyDescent="0.3">
      <c r="A7437" t="s">
        <v>10152</v>
      </c>
      <c r="B7437" t="s">
        <v>44</v>
      </c>
      <c r="C7437">
        <v>7648876604</v>
      </c>
      <c r="D7437" s="2">
        <v>1</v>
      </c>
      <c r="E7437" t="str">
        <f>"4574674200884229"</f>
        <v>4574674200884229</v>
      </c>
      <c r="F7437" t="str">
        <f>"725"</f>
        <v>725</v>
      </c>
      <c r="G7437">
        <v>1</v>
      </c>
      <c r="H7437">
        <v>2023</v>
      </c>
      <c r="I7437" t="s">
        <v>7552</v>
      </c>
    </row>
    <row r="7438" spans="1:9" x14ac:dyDescent="0.3">
      <c r="A7438" t="s">
        <v>10152</v>
      </c>
      <c r="B7438" t="s">
        <v>44</v>
      </c>
      <c r="C7438">
        <v>7648876604</v>
      </c>
      <c r="D7438" s="2">
        <v>1</v>
      </c>
      <c r="E7438" t="str">
        <f>"4574674200884401"</f>
        <v>4574674200884401</v>
      </c>
      <c r="F7438" t="str">
        <f>"035"</f>
        <v>035</v>
      </c>
      <c r="G7438">
        <v>1</v>
      </c>
      <c r="H7438">
        <v>2023</v>
      </c>
      <c r="I7438" t="s">
        <v>7553</v>
      </c>
    </row>
    <row r="7439" spans="1:9" x14ac:dyDescent="0.3">
      <c r="A7439" t="s">
        <v>10152</v>
      </c>
      <c r="B7439" t="s">
        <v>44</v>
      </c>
      <c r="C7439">
        <v>7648876604</v>
      </c>
      <c r="D7439" s="2">
        <v>1</v>
      </c>
      <c r="E7439" t="str">
        <f>"4574674200884278"</f>
        <v>4574674200884278</v>
      </c>
      <c r="F7439" t="str">
        <f>"050"</f>
        <v>050</v>
      </c>
      <c r="G7439">
        <v>1</v>
      </c>
      <c r="H7439">
        <v>2023</v>
      </c>
      <c r="I7439" t="s">
        <v>7554</v>
      </c>
    </row>
    <row r="7440" spans="1:9" x14ac:dyDescent="0.3">
      <c r="A7440" t="s">
        <v>10152</v>
      </c>
      <c r="B7440" t="s">
        <v>44</v>
      </c>
      <c r="C7440">
        <v>7648876604</v>
      </c>
      <c r="D7440" s="2">
        <v>1</v>
      </c>
      <c r="E7440" t="str">
        <f>"4574674200884294"</f>
        <v>4574674200884294</v>
      </c>
      <c r="F7440" t="str">
        <f>"212"</f>
        <v>212</v>
      </c>
      <c r="G7440">
        <v>1</v>
      </c>
      <c r="H7440">
        <v>2023</v>
      </c>
      <c r="I7440" t="s">
        <v>7555</v>
      </c>
    </row>
    <row r="7441" spans="1:9" x14ac:dyDescent="0.3">
      <c r="A7441" t="s">
        <v>10152</v>
      </c>
      <c r="B7441" t="s">
        <v>44</v>
      </c>
      <c r="C7441">
        <v>7648876604</v>
      </c>
      <c r="D7441" s="2">
        <v>1</v>
      </c>
      <c r="E7441" t="str">
        <f>"4574674200884468"</f>
        <v>4574674200884468</v>
      </c>
      <c r="F7441" t="str">
        <f>"438"</f>
        <v>438</v>
      </c>
      <c r="G7441">
        <v>1</v>
      </c>
      <c r="H7441">
        <v>2023</v>
      </c>
      <c r="I7441" t="s">
        <v>7556</v>
      </c>
    </row>
    <row r="7442" spans="1:9" x14ac:dyDescent="0.3">
      <c r="A7442" t="s">
        <v>10152</v>
      </c>
      <c r="B7442" t="s">
        <v>44</v>
      </c>
      <c r="C7442">
        <v>7648876604</v>
      </c>
      <c r="D7442" s="2">
        <v>1</v>
      </c>
      <c r="E7442" t="str">
        <f>"4574674200884443"</f>
        <v>4574674200884443</v>
      </c>
      <c r="F7442" t="str">
        <f>"286"</f>
        <v>286</v>
      </c>
      <c r="G7442">
        <v>1</v>
      </c>
      <c r="H7442">
        <v>2023</v>
      </c>
      <c r="I7442" t="s">
        <v>7557</v>
      </c>
    </row>
    <row r="7443" spans="1:9" x14ac:dyDescent="0.3">
      <c r="A7443" t="s">
        <v>10152</v>
      </c>
      <c r="B7443" t="s">
        <v>44</v>
      </c>
      <c r="C7443">
        <v>7648876604</v>
      </c>
      <c r="D7443" s="2">
        <v>1</v>
      </c>
      <c r="E7443" t="str">
        <f>"4574674200884518"</f>
        <v>4574674200884518</v>
      </c>
      <c r="F7443" t="str">
        <f>"754"</f>
        <v>754</v>
      </c>
      <c r="G7443">
        <v>1</v>
      </c>
      <c r="H7443">
        <v>2023</v>
      </c>
      <c r="I7443" t="s">
        <v>7558</v>
      </c>
    </row>
    <row r="7444" spans="1:9" x14ac:dyDescent="0.3">
      <c r="A7444" t="s">
        <v>10152</v>
      </c>
      <c r="B7444" t="s">
        <v>44</v>
      </c>
      <c r="C7444">
        <v>7648876604</v>
      </c>
      <c r="D7444" s="2">
        <v>1</v>
      </c>
      <c r="E7444" t="str">
        <f>"4574674200884534"</f>
        <v>4574674200884534</v>
      </c>
      <c r="F7444" t="str">
        <f>"280"</f>
        <v>280</v>
      </c>
      <c r="G7444">
        <v>1</v>
      </c>
      <c r="H7444">
        <v>2023</v>
      </c>
      <c r="I7444" t="s">
        <v>7559</v>
      </c>
    </row>
    <row r="7445" spans="1:9" x14ac:dyDescent="0.3">
      <c r="A7445" t="s">
        <v>10152</v>
      </c>
      <c r="B7445" t="s">
        <v>44</v>
      </c>
      <c r="C7445">
        <v>7648876604</v>
      </c>
      <c r="D7445" s="2">
        <v>1</v>
      </c>
      <c r="E7445" t="str">
        <f>"4574674200884336"</f>
        <v>4574674200884336</v>
      </c>
      <c r="F7445" t="str">
        <f>"877"</f>
        <v>877</v>
      </c>
      <c r="G7445">
        <v>1</v>
      </c>
      <c r="H7445">
        <v>2023</v>
      </c>
      <c r="I7445" t="s">
        <v>7560</v>
      </c>
    </row>
    <row r="7446" spans="1:9" x14ac:dyDescent="0.3">
      <c r="A7446" t="s">
        <v>10152</v>
      </c>
      <c r="B7446" t="s">
        <v>44</v>
      </c>
      <c r="C7446">
        <v>7648876604</v>
      </c>
      <c r="D7446" s="2">
        <v>1</v>
      </c>
      <c r="E7446" t="str">
        <f>"4574674200884625"</f>
        <v>4574674200884625</v>
      </c>
      <c r="F7446" t="str">
        <f>"734"</f>
        <v>734</v>
      </c>
      <c r="G7446">
        <v>1</v>
      </c>
      <c r="H7446">
        <v>2023</v>
      </c>
      <c r="I7446" t="s">
        <v>7561</v>
      </c>
    </row>
    <row r="7447" spans="1:9" x14ac:dyDescent="0.3">
      <c r="A7447" t="s">
        <v>10162</v>
      </c>
      <c r="B7447" t="s">
        <v>54</v>
      </c>
      <c r="C7447">
        <v>8989697390</v>
      </c>
      <c r="D7447" s="2">
        <v>1</v>
      </c>
      <c r="E7447" t="str">
        <f>"4574674200884641"</f>
        <v>4574674200884641</v>
      </c>
      <c r="F7447" t="str">
        <f>"450"</f>
        <v>450</v>
      </c>
      <c r="G7447">
        <v>1</v>
      </c>
      <c r="H7447">
        <v>2023</v>
      </c>
      <c r="I7447" t="s">
        <v>7562</v>
      </c>
    </row>
    <row r="7448" spans="1:9" x14ac:dyDescent="0.3">
      <c r="A7448" t="s">
        <v>10162</v>
      </c>
      <c r="B7448" t="s">
        <v>54</v>
      </c>
      <c r="C7448">
        <v>8989697390</v>
      </c>
      <c r="D7448" s="2">
        <v>1</v>
      </c>
      <c r="E7448" t="str">
        <f>"4574674200884666"</f>
        <v>4574674200884666</v>
      </c>
      <c r="F7448" t="str">
        <f>"833"</f>
        <v>833</v>
      </c>
      <c r="G7448">
        <v>1</v>
      </c>
      <c r="H7448">
        <v>2023</v>
      </c>
      <c r="I7448" t="s">
        <v>7563</v>
      </c>
    </row>
    <row r="7449" spans="1:9" x14ac:dyDescent="0.3">
      <c r="A7449" t="s">
        <v>10162</v>
      </c>
      <c r="B7449" t="s">
        <v>54</v>
      </c>
      <c r="C7449">
        <v>8989697390</v>
      </c>
      <c r="D7449" s="2">
        <v>1</v>
      </c>
      <c r="E7449" t="str">
        <f>"4574674200884807"</f>
        <v>4574674200884807</v>
      </c>
      <c r="F7449" t="str">
        <f>"613"</f>
        <v>613</v>
      </c>
      <c r="G7449">
        <v>1</v>
      </c>
      <c r="H7449">
        <v>2023</v>
      </c>
      <c r="I7449" t="s">
        <v>7564</v>
      </c>
    </row>
    <row r="7450" spans="1:9" x14ac:dyDescent="0.3">
      <c r="A7450" t="s">
        <v>10162</v>
      </c>
      <c r="B7450" t="s">
        <v>54</v>
      </c>
      <c r="C7450">
        <v>8989697390</v>
      </c>
      <c r="D7450" s="2">
        <v>1</v>
      </c>
      <c r="E7450" t="str">
        <f>"4574674200884393"</f>
        <v>4574674200884393</v>
      </c>
      <c r="F7450" t="str">
        <f>"383"</f>
        <v>383</v>
      </c>
      <c r="G7450">
        <v>1</v>
      </c>
      <c r="H7450">
        <v>2023</v>
      </c>
      <c r="I7450" t="s">
        <v>7565</v>
      </c>
    </row>
    <row r="7451" spans="1:9" x14ac:dyDescent="0.3">
      <c r="A7451" t="s">
        <v>10162</v>
      </c>
      <c r="B7451" t="s">
        <v>54</v>
      </c>
      <c r="C7451">
        <v>8989697390</v>
      </c>
      <c r="D7451" s="2">
        <v>1</v>
      </c>
      <c r="E7451" t="str">
        <f>"4574674200884740"</f>
        <v>4574674200884740</v>
      </c>
      <c r="F7451" t="str">
        <f>"384"</f>
        <v>384</v>
      </c>
      <c r="G7451">
        <v>1</v>
      </c>
      <c r="H7451">
        <v>2023</v>
      </c>
      <c r="I7451" t="s">
        <v>7566</v>
      </c>
    </row>
    <row r="7452" spans="1:9" x14ac:dyDescent="0.3">
      <c r="A7452" t="s">
        <v>10162</v>
      </c>
      <c r="B7452" t="s">
        <v>54</v>
      </c>
      <c r="C7452">
        <v>8989697390</v>
      </c>
      <c r="D7452" s="2">
        <v>1</v>
      </c>
      <c r="E7452" t="str">
        <f>"4574674200884773"</f>
        <v>4574674200884773</v>
      </c>
      <c r="F7452" t="str">
        <f>"794"</f>
        <v>794</v>
      </c>
      <c r="G7452">
        <v>1</v>
      </c>
      <c r="H7452">
        <v>2023</v>
      </c>
      <c r="I7452" t="s">
        <v>7567</v>
      </c>
    </row>
    <row r="7453" spans="1:9" x14ac:dyDescent="0.3">
      <c r="A7453" t="s">
        <v>10162</v>
      </c>
      <c r="B7453" t="s">
        <v>54</v>
      </c>
      <c r="C7453">
        <v>8989697390</v>
      </c>
      <c r="D7453" s="2">
        <v>1</v>
      </c>
      <c r="E7453" t="str">
        <f>"4574674200885002"</f>
        <v>4574674200885002</v>
      </c>
      <c r="F7453" t="str">
        <f>"803"</f>
        <v>803</v>
      </c>
      <c r="G7453">
        <v>1</v>
      </c>
      <c r="H7453">
        <v>2023</v>
      </c>
      <c r="I7453" t="s">
        <v>7568</v>
      </c>
    </row>
    <row r="7454" spans="1:9" x14ac:dyDescent="0.3">
      <c r="A7454" t="s">
        <v>10162</v>
      </c>
      <c r="B7454" t="s">
        <v>54</v>
      </c>
      <c r="C7454">
        <v>8989697390</v>
      </c>
      <c r="D7454" s="2">
        <v>1</v>
      </c>
      <c r="E7454" t="str">
        <f>"4574674200885010"</f>
        <v>4574674200885010</v>
      </c>
      <c r="F7454" t="str">
        <f>"198"</f>
        <v>198</v>
      </c>
      <c r="G7454">
        <v>1</v>
      </c>
      <c r="H7454">
        <v>2023</v>
      </c>
      <c r="I7454" t="s">
        <v>7569</v>
      </c>
    </row>
    <row r="7455" spans="1:9" x14ac:dyDescent="0.3">
      <c r="A7455" t="s">
        <v>10162</v>
      </c>
      <c r="B7455" t="s">
        <v>54</v>
      </c>
      <c r="C7455">
        <v>8989697390</v>
      </c>
      <c r="D7455" s="2">
        <v>1</v>
      </c>
      <c r="E7455" t="str">
        <f>"4574674200884856"</f>
        <v>4574674200884856</v>
      </c>
      <c r="F7455" t="str">
        <f>"411"</f>
        <v>411</v>
      </c>
      <c r="G7455">
        <v>1</v>
      </c>
      <c r="H7455">
        <v>2023</v>
      </c>
      <c r="I7455" t="s">
        <v>7570</v>
      </c>
    </row>
    <row r="7456" spans="1:9" x14ac:dyDescent="0.3">
      <c r="A7456" t="s">
        <v>10162</v>
      </c>
      <c r="B7456" t="s">
        <v>54</v>
      </c>
      <c r="C7456">
        <v>8989697390</v>
      </c>
      <c r="D7456" s="2">
        <v>1</v>
      </c>
      <c r="E7456" t="str">
        <f>"4574674200885119"</f>
        <v>4574674200885119</v>
      </c>
      <c r="F7456" t="str">
        <f>"717"</f>
        <v>717</v>
      </c>
      <c r="G7456">
        <v>1</v>
      </c>
      <c r="H7456">
        <v>2023</v>
      </c>
      <c r="I7456" t="s">
        <v>7571</v>
      </c>
    </row>
    <row r="7457" spans="1:9" x14ac:dyDescent="0.3">
      <c r="A7457" t="s">
        <v>10140</v>
      </c>
      <c r="B7457" t="s">
        <v>55</v>
      </c>
      <c r="C7457">
        <v>8989697390</v>
      </c>
      <c r="D7457" s="2">
        <v>1</v>
      </c>
      <c r="E7457" t="str">
        <f>"4574674200885135"</f>
        <v>4574674200885135</v>
      </c>
      <c r="F7457" t="str">
        <f>"999"</f>
        <v>999</v>
      </c>
      <c r="G7457">
        <v>1</v>
      </c>
      <c r="H7457">
        <v>2023</v>
      </c>
      <c r="I7457" t="s">
        <v>7572</v>
      </c>
    </row>
    <row r="7458" spans="1:9" x14ac:dyDescent="0.3">
      <c r="A7458" t="s">
        <v>10140</v>
      </c>
      <c r="B7458" t="s">
        <v>55</v>
      </c>
      <c r="C7458">
        <v>8989697390</v>
      </c>
      <c r="D7458" s="2">
        <v>1</v>
      </c>
      <c r="E7458" t="str">
        <f>"4574674200885168"</f>
        <v>4574674200885168</v>
      </c>
      <c r="F7458" t="str">
        <f>"263"</f>
        <v>263</v>
      </c>
      <c r="G7458">
        <v>1</v>
      </c>
      <c r="H7458">
        <v>2023</v>
      </c>
      <c r="I7458" t="s">
        <v>7573</v>
      </c>
    </row>
    <row r="7459" spans="1:9" x14ac:dyDescent="0.3">
      <c r="A7459" t="s">
        <v>10140</v>
      </c>
      <c r="B7459" t="s">
        <v>55</v>
      </c>
      <c r="C7459">
        <v>8989697390</v>
      </c>
      <c r="D7459" s="2">
        <v>1</v>
      </c>
      <c r="E7459" t="str">
        <f>"4574674200884922"</f>
        <v>4574674200884922</v>
      </c>
      <c r="F7459" t="str">
        <f>"268"</f>
        <v>268</v>
      </c>
      <c r="G7459">
        <v>1</v>
      </c>
      <c r="H7459">
        <v>2023</v>
      </c>
      <c r="I7459" t="s">
        <v>7574</v>
      </c>
    </row>
    <row r="7460" spans="1:9" x14ac:dyDescent="0.3">
      <c r="A7460" t="s">
        <v>10140</v>
      </c>
      <c r="B7460" t="s">
        <v>55</v>
      </c>
      <c r="C7460">
        <v>8989697390</v>
      </c>
      <c r="D7460" s="2">
        <v>1</v>
      </c>
      <c r="E7460" t="str">
        <f>"4574674200885184"</f>
        <v>4574674200885184</v>
      </c>
      <c r="F7460" t="str">
        <f>"045"</f>
        <v>045</v>
      </c>
      <c r="G7460">
        <v>1</v>
      </c>
      <c r="H7460">
        <v>2023</v>
      </c>
      <c r="I7460" t="s">
        <v>7575</v>
      </c>
    </row>
    <row r="7461" spans="1:9" x14ac:dyDescent="0.3">
      <c r="A7461" t="s">
        <v>10140</v>
      </c>
      <c r="B7461" t="s">
        <v>55</v>
      </c>
      <c r="C7461">
        <v>8989697390</v>
      </c>
      <c r="D7461" s="2">
        <v>1</v>
      </c>
      <c r="E7461" t="str">
        <f>"4574674200884914"</f>
        <v>4574674200884914</v>
      </c>
      <c r="F7461" t="str">
        <f>"659"</f>
        <v>659</v>
      </c>
      <c r="G7461">
        <v>1</v>
      </c>
      <c r="H7461">
        <v>2023</v>
      </c>
      <c r="I7461" t="s">
        <v>7576</v>
      </c>
    </row>
    <row r="7462" spans="1:9" x14ac:dyDescent="0.3">
      <c r="A7462" t="s">
        <v>10140</v>
      </c>
      <c r="B7462" t="s">
        <v>55</v>
      </c>
      <c r="C7462">
        <v>8989697390</v>
      </c>
      <c r="D7462" s="2">
        <v>1</v>
      </c>
      <c r="E7462" t="str">
        <f>"4574674200884971"</f>
        <v>4574674200884971</v>
      </c>
      <c r="F7462" t="str">
        <f>"373"</f>
        <v>373</v>
      </c>
      <c r="G7462">
        <v>1</v>
      </c>
      <c r="H7462">
        <v>2023</v>
      </c>
      <c r="I7462" t="s">
        <v>7577</v>
      </c>
    </row>
    <row r="7463" spans="1:9" x14ac:dyDescent="0.3">
      <c r="A7463" t="s">
        <v>10140</v>
      </c>
      <c r="B7463" t="s">
        <v>55</v>
      </c>
      <c r="C7463">
        <v>8989697390</v>
      </c>
      <c r="D7463" s="2">
        <v>1</v>
      </c>
      <c r="E7463" t="str">
        <f>"4574674200885317"</f>
        <v>4574674200885317</v>
      </c>
      <c r="F7463" t="str">
        <f>"106"</f>
        <v>106</v>
      </c>
      <c r="G7463">
        <v>1</v>
      </c>
      <c r="H7463">
        <v>2023</v>
      </c>
      <c r="I7463" t="s">
        <v>7578</v>
      </c>
    </row>
    <row r="7464" spans="1:9" x14ac:dyDescent="0.3">
      <c r="A7464" t="s">
        <v>10140</v>
      </c>
      <c r="B7464" t="s">
        <v>55</v>
      </c>
      <c r="C7464">
        <v>8989697390</v>
      </c>
      <c r="D7464" s="2">
        <v>1</v>
      </c>
      <c r="E7464" t="str">
        <f>"4574674200885325"</f>
        <v>4574674200885325</v>
      </c>
      <c r="F7464" t="str">
        <f>"186"</f>
        <v>186</v>
      </c>
      <c r="G7464">
        <v>1</v>
      </c>
      <c r="H7464">
        <v>2023</v>
      </c>
      <c r="I7464" t="s">
        <v>7579</v>
      </c>
    </row>
    <row r="7465" spans="1:9" x14ac:dyDescent="0.3">
      <c r="A7465" t="s">
        <v>10140</v>
      </c>
      <c r="B7465" t="s">
        <v>55</v>
      </c>
      <c r="C7465">
        <v>8989697390</v>
      </c>
      <c r="D7465" s="2">
        <v>1</v>
      </c>
      <c r="E7465" t="str">
        <f>"4574674200885283"</f>
        <v>4574674200885283</v>
      </c>
      <c r="F7465" t="str">
        <f>"380"</f>
        <v>380</v>
      </c>
      <c r="G7465">
        <v>1</v>
      </c>
      <c r="H7465">
        <v>2023</v>
      </c>
      <c r="I7465" t="s">
        <v>7580</v>
      </c>
    </row>
    <row r="7466" spans="1:9" x14ac:dyDescent="0.3">
      <c r="A7466" t="s">
        <v>10140</v>
      </c>
      <c r="B7466" t="s">
        <v>55</v>
      </c>
      <c r="C7466">
        <v>8989697390</v>
      </c>
      <c r="D7466" s="2">
        <v>1</v>
      </c>
      <c r="E7466" t="str">
        <f>"4574674200885333"</f>
        <v>4574674200885333</v>
      </c>
      <c r="F7466" t="str">
        <f>"111"</f>
        <v>111</v>
      </c>
      <c r="G7466">
        <v>1</v>
      </c>
      <c r="H7466">
        <v>2023</v>
      </c>
      <c r="I7466" t="s">
        <v>7581</v>
      </c>
    </row>
    <row r="7467" spans="1:9" x14ac:dyDescent="0.3">
      <c r="A7467" t="s">
        <v>10133</v>
      </c>
      <c r="B7467" t="s">
        <v>56</v>
      </c>
      <c r="C7467">
        <v>8989697390</v>
      </c>
      <c r="D7467" s="2">
        <v>1</v>
      </c>
      <c r="E7467" t="str">
        <f>"4574674200885416"</f>
        <v>4574674200885416</v>
      </c>
      <c r="F7467" t="str">
        <f>"238"</f>
        <v>238</v>
      </c>
      <c r="G7467">
        <v>1</v>
      </c>
      <c r="H7467">
        <v>2023</v>
      </c>
      <c r="I7467" t="s">
        <v>7582</v>
      </c>
    </row>
    <row r="7468" spans="1:9" x14ac:dyDescent="0.3">
      <c r="A7468" t="s">
        <v>10133</v>
      </c>
      <c r="B7468" t="s">
        <v>56</v>
      </c>
      <c r="C7468">
        <v>8989697390</v>
      </c>
      <c r="D7468" s="2">
        <v>1</v>
      </c>
      <c r="E7468" t="str">
        <f>"4574674200885424"</f>
        <v>4574674200885424</v>
      </c>
      <c r="F7468" t="str">
        <f>"238"</f>
        <v>238</v>
      </c>
      <c r="G7468">
        <v>1</v>
      </c>
      <c r="H7468">
        <v>2023</v>
      </c>
      <c r="I7468" t="s">
        <v>7583</v>
      </c>
    </row>
    <row r="7469" spans="1:9" x14ac:dyDescent="0.3">
      <c r="A7469" t="s">
        <v>10133</v>
      </c>
      <c r="B7469" t="s">
        <v>56</v>
      </c>
      <c r="C7469">
        <v>8989697390</v>
      </c>
      <c r="D7469" s="2">
        <v>1</v>
      </c>
      <c r="E7469" t="str">
        <f>"4574674200885630"</f>
        <v>4574674200885630</v>
      </c>
      <c r="F7469" t="str">
        <f>"921"</f>
        <v>921</v>
      </c>
      <c r="G7469">
        <v>1</v>
      </c>
      <c r="H7469">
        <v>2023</v>
      </c>
      <c r="I7469" t="s">
        <v>7584</v>
      </c>
    </row>
    <row r="7470" spans="1:9" x14ac:dyDescent="0.3">
      <c r="A7470" t="s">
        <v>10133</v>
      </c>
      <c r="B7470" t="s">
        <v>56</v>
      </c>
      <c r="C7470">
        <v>8989697390</v>
      </c>
      <c r="D7470" s="2">
        <v>1</v>
      </c>
      <c r="E7470" t="str">
        <f>"4574674200885663"</f>
        <v>4574674200885663</v>
      </c>
      <c r="F7470" t="str">
        <f>"362"</f>
        <v>362</v>
      </c>
      <c r="G7470">
        <v>1</v>
      </c>
      <c r="H7470">
        <v>2023</v>
      </c>
      <c r="I7470" t="s">
        <v>7585</v>
      </c>
    </row>
    <row r="7471" spans="1:9" x14ac:dyDescent="0.3">
      <c r="A7471" t="s">
        <v>10133</v>
      </c>
      <c r="B7471" t="s">
        <v>56</v>
      </c>
      <c r="C7471">
        <v>8989697390</v>
      </c>
      <c r="D7471" s="2">
        <v>1</v>
      </c>
      <c r="E7471" t="str">
        <f>"4574674200885689"</f>
        <v>4574674200885689</v>
      </c>
      <c r="F7471" t="str">
        <f>"753"</f>
        <v>753</v>
      </c>
      <c r="G7471">
        <v>1</v>
      </c>
      <c r="H7471">
        <v>2023</v>
      </c>
      <c r="I7471" t="s">
        <v>7586</v>
      </c>
    </row>
    <row r="7472" spans="1:9" x14ac:dyDescent="0.3">
      <c r="A7472" t="s">
        <v>10133</v>
      </c>
      <c r="B7472" t="s">
        <v>56</v>
      </c>
      <c r="C7472">
        <v>8989697390</v>
      </c>
      <c r="D7472" s="2">
        <v>1</v>
      </c>
      <c r="E7472" t="str">
        <f>"4574674200885697"</f>
        <v>4574674200885697</v>
      </c>
      <c r="F7472" t="str">
        <f>"453"</f>
        <v>453</v>
      </c>
      <c r="G7472">
        <v>1</v>
      </c>
      <c r="H7472">
        <v>2023</v>
      </c>
      <c r="I7472" t="s">
        <v>7587</v>
      </c>
    </row>
    <row r="7473" spans="1:9" x14ac:dyDescent="0.3">
      <c r="A7473" t="s">
        <v>10133</v>
      </c>
      <c r="B7473" t="s">
        <v>56</v>
      </c>
      <c r="C7473">
        <v>8989697390</v>
      </c>
      <c r="D7473" s="2">
        <v>1</v>
      </c>
      <c r="E7473" t="str">
        <f>"4574674200885499"</f>
        <v>4574674200885499</v>
      </c>
      <c r="F7473" t="str">
        <f>"988"</f>
        <v>988</v>
      </c>
      <c r="G7473">
        <v>1</v>
      </c>
      <c r="H7473">
        <v>2023</v>
      </c>
      <c r="I7473" t="s">
        <v>7588</v>
      </c>
    </row>
    <row r="7474" spans="1:9" x14ac:dyDescent="0.3">
      <c r="A7474" t="s">
        <v>10133</v>
      </c>
      <c r="B7474" t="s">
        <v>56</v>
      </c>
      <c r="C7474">
        <v>8989697390</v>
      </c>
      <c r="D7474" s="2">
        <v>1</v>
      </c>
      <c r="E7474" t="str">
        <f>"4574674200885812"</f>
        <v>4574674200885812</v>
      </c>
      <c r="F7474" t="str">
        <f>"163"</f>
        <v>163</v>
      </c>
      <c r="G7474">
        <v>1</v>
      </c>
      <c r="H7474">
        <v>2023</v>
      </c>
      <c r="I7474" t="s">
        <v>7589</v>
      </c>
    </row>
    <row r="7475" spans="1:9" x14ac:dyDescent="0.3">
      <c r="A7475" t="s">
        <v>10133</v>
      </c>
      <c r="B7475" t="s">
        <v>56</v>
      </c>
      <c r="C7475">
        <v>8989697390</v>
      </c>
      <c r="D7475" s="2">
        <v>1</v>
      </c>
      <c r="E7475" t="str">
        <f>"4574674200885838"</f>
        <v>4574674200885838</v>
      </c>
      <c r="F7475" t="str">
        <f>"367"</f>
        <v>367</v>
      </c>
      <c r="G7475">
        <v>1</v>
      </c>
      <c r="H7475">
        <v>2023</v>
      </c>
      <c r="I7475" t="s">
        <v>7590</v>
      </c>
    </row>
    <row r="7476" spans="1:9" x14ac:dyDescent="0.3">
      <c r="A7476" t="s">
        <v>10133</v>
      </c>
      <c r="B7476" t="s">
        <v>56</v>
      </c>
      <c r="C7476">
        <v>8989697390</v>
      </c>
      <c r="D7476" s="2">
        <v>1</v>
      </c>
      <c r="E7476" t="str">
        <f>"4574674200885531"</f>
        <v>4574674200885531</v>
      </c>
      <c r="F7476" t="str">
        <f>"885"</f>
        <v>885</v>
      </c>
      <c r="G7476">
        <v>1</v>
      </c>
      <c r="H7476">
        <v>2023</v>
      </c>
      <c r="I7476" t="s">
        <v>7591</v>
      </c>
    </row>
    <row r="7477" spans="1:9" x14ac:dyDescent="0.3">
      <c r="A7477" t="s">
        <v>10163</v>
      </c>
      <c r="B7477" t="s">
        <v>57</v>
      </c>
      <c r="C7477">
        <v>8989697390</v>
      </c>
      <c r="D7477" s="2">
        <v>1</v>
      </c>
      <c r="E7477" t="str">
        <f>"4574674200885549"</f>
        <v>4574674200885549</v>
      </c>
      <c r="F7477" t="str">
        <f>"771"</f>
        <v>771</v>
      </c>
      <c r="G7477">
        <v>1</v>
      </c>
      <c r="H7477">
        <v>2023</v>
      </c>
      <c r="I7477" t="s">
        <v>7592</v>
      </c>
    </row>
    <row r="7478" spans="1:9" x14ac:dyDescent="0.3">
      <c r="A7478" t="s">
        <v>10163</v>
      </c>
      <c r="B7478" t="s">
        <v>57</v>
      </c>
      <c r="C7478">
        <v>8989697390</v>
      </c>
      <c r="D7478" s="2">
        <v>1</v>
      </c>
      <c r="E7478" t="str">
        <f>"4574674200885846"</f>
        <v>4574674200885846</v>
      </c>
      <c r="F7478" t="str">
        <f>"958"</f>
        <v>958</v>
      </c>
      <c r="G7478">
        <v>1</v>
      </c>
      <c r="H7478">
        <v>2023</v>
      </c>
      <c r="I7478" t="s">
        <v>7593</v>
      </c>
    </row>
    <row r="7479" spans="1:9" x14ac:dyDescent="0.3">
      <c r="A7479" t="s">
        <v>10163</v>
      </c>
      <c r="B7479" t="s">
        <v>57</v>
      </c>
      <c r="C7479">
        <v>8989697390</v>
      </c>
      <c r="D7479" s="2">
        <v>1</v>
      </c>
      <c r="E7479" t="str">
        <f>"4574674200885861"</f>
        <v>4574674200885861</v>
      </c>
      <c r="F7479" t="str">
        <f>"782"</f>
        <v>782</v>
      </c>
      <c r="G7479">
        <v>1</v>
      </c>
      <c r="H7479">
        <v>2023</v>
      </c>
      <c r="I7479" t="s">
        <v>7594</v>
      </c>
    </row>
    <row r="7480" spans="1:9" x14ac:dyDescent="0.3">
      <c r="A7480" t="s">
        <v>10163</v>
      </c>
      <c r="B7480" t="s">
        <v>57</v>
      </c>
      <c r="C7480">
        <v>8989697390</v>
      </c>
      <c r="D7480" s="2">
        <v>1</v>
      </c>
      <c r="E7480" t="str">
        <f>"4574674200885952"</f>
        <v>4574674200885952</v>
      </c>
      <c r="F7480" t="str">
        <f>"939"</f>
        <v>939</v>
      </c>
      <c r="G7480">
        <v>1</v>
      </c>
      <c r="H7480">
        <v>2023</v>
      </c>
      <c r="I7480" t="s">
        <v>7595</v>
      </c>
    </row>
    <row r="7481" spans="1:9" x14ac:dyDescent="0.3">
      <c r="A7481" t="s">
        <v>10163</v>
      </c>
      <c r="B7481" t="s">
        <v>57</v>
      </c>
      <c r="C7481">
        <v>8989697390</v>
      </c>
      <c r="D7481" s="2">
        <v>1</v>
      </c>
      <c r="E7481" t="str">
        <f>"4574674200885978"</f>
        <v>4574674200885978</v>
      </c>
      <c r="F7481" t="str">
        <f>"298"</f>
        <v>298</v>
      </c>
      <c r="G7481">
        <v>1</v>
      </c>
      <c r="H7481">
        <v>2023</v>
      </c>
      <c r="I7481" t="s">
        <v>7596</v>
      </c>
    </row>
    <row r="7482" spans="1:9" x14ac:dyDescent="0.3">
      <c r="A7482" t="s">
        <v>10163</v>
      </c>
      <c r="B7482" t="s">
        <v>57</v>
      </c>
      <c r="C7482">
        <v>8989697390</v>
      </c>
      <c r="D7482" s="2">
        <v>1</v>
      </c>
      <c r="E7482" t="str">
        <f>"4574674200886216"</f>
        <v>4574674200886216</v>
      </c>
      <c r="F7482" t="str">
        <f>"801"</f>
        <v>801</v>
      </c>
      <c r="G7482">
        <v>1</v>
      </c>
      <c r="H7482">
        <v>2023</v>
      </c>
      <c r="I7482" t="s">
        <v>7597</v>
      </c>
    </row>
    <row r="7483" spans="1:9" x14ac:dyDescent="0.3">
      <c r="A7483" t="s">
        <v>10163</v>
      </c>
      <c r="B7483" t="s">
        <v>57</v>
      </c>
      <c r="C7483">
        <v>8989697390</v>
      </c>
      <c r="D7483" s="2">
        <v>1</v>
      </c>
      <c r="E7483" t="str">
        <f>"4574674200886026"</f>
        <v>4574674200886026</v>
      </c>
      <c r="F7483" t="str">
        <f>"326"</f>
        <v>326</v>
      </c>
      <c r="G7483">
        <v>1</v>
      </c>
      <c r="H7483">
        <v>2023</v>
      </c>
      <c r="I7483" t="s">
        <v>7598</v>
      </c>
    </row>
    <row r="7484" spans="1:9" x14ac:dyDescent="0.3">
      <c r="A7484" t="s">
        <v>10163</v>
      </c>
      <c r="B7484" t="s">
        <v>57</v>
      </c>
      <c r="C7484">
        <v>8989697390</v>
      </c>
      <c r="D7484" s="2">
        <v>1</v>
      </c>
      <c r="E7484" t="str">
        <f>"4574674200886257"</f>
        <v>4574674200886257</v>
      </c>
      <c r="F7484" t="str">
        <f>"291"</f>
        <v>291</v>
      </c>
      <c r="G7484">
        <v>1</v>
      </c>
      <c r="H7484">
        <v>2023</v>
      </c>
      <c r="I7484" t="s">
        <v>7599</v>
      </c>
    </row>
    <row r="7485" spans="1:9" x14ac:dyDescent="0.3">
      <c r="A7485" t="s">
        <v>10163</v>
      </c>
      <c r="B7485" t="s">
        <v>57</v>
      </c>
      <c r="C7485">
        <v>8989697390</v>
      </c>
      <c r="D7485" s="2">
        <v>1</v>
      </c>
      <c r="E7485" t="str">
        <f>"4574674200886067"</f>
        <v>4574674200886067</v>
      </c>
      <c r="F7485" t="str">
        <f>"080"</f>
        <v>080</v>
      </c>
      <c r="G7485">
        <v>1</v>
      </c>
      <c r="H7485">
        <v>2023</v>
      </c>
      <c r="I7485" t="s">
        <v>7600</v>
      </c>
    </row>
    <row r="7486" spans="1:9" x14ac:dyDescent="0.3">
      <c r="A7486" t="s">
        <v>10163</v>
      </c>
      <c r="B7486" t="s">
        <v>57</v>
      </c>
      <c r="C7486">
        <v>8989697390</v>
      </c>
      <c r="D7486" s="2">
        <v>1</v>
      </c>
      <c r="E7486" t="str">
        <f>"4574674200886042"</f>
        <v>4574674200886042</v>
      </c>
      <c r="F7486" t="str">
        <f>"025"</f>
        <v>025</v>
      </c>
      <c r="G7486">
        <v>1</v>
      </c>
      <c r="H7486">
        <v>2023</v>
      </c>
      <c r="I7486" t="s">
        <v>7601</v>
      </c>
    </row>
    <row r="7487" spans="1:9" x14ac:dyDescent="0.3">
      <c r="A7487" t="s">
        <v>10164</v>
      </c>
      <c r="B7487" t="s">
        <v>58</v>
      </c>
      <c r="C7487">
        <v>8989697390</v>
      </c>
      <c r="D7487" s="2">
        <v>1</v>
      </c>
      <c r="E7487" t="str">
        <f>"4574674200886315"</f>
        <v>4574674200886315</v>
      </c>
      <c r="F7487" t="str">
        <f>"818"</f>
        <v>818</v>
      </c>
      <c r="G7487">
        <v>1</v>
      </c>
      <c r="H7487">
        <v>2023</v>
      </c>
      <c r="I7487" t="s">
        <v>7602</v>
      </c>
    </row>
    <row r="7488" spans="1:9" x14ac:dyDescent="0.3">
      <c r="A7488" t="s">
        <v>10164</v>
      </c>
      <c r="B7488" t="s">
        <v>58</v>
      </c>
      <c r="C7488">
        <v>8989697390</v>
      </c>
      <c r="D7488" s="2">
        <v>1</v>
      </c>
      <c r="E7488" t="str">
        <f>"4574674200886323"</f>
        <v>4574674200886323</v>
      </c>
      <c r="F7488" t="str">
        <f>"472"</f>
        <v>472</v>
      </c>
      <c r="G7488">
        <v>1</v>
      </c>
      <c r="H7488">
        <v>2023</v>
      </c>
      <c r="I7488" t="s">
        <v>7603</v>
      </c>
    </row>
    <row r="7489" spans="1:9" x14ac:dyDescent="0.3">
      <c r="A7489" t="s">
        <v>10164</v>
      </c>
      <c r="B7489" t="s">
        <v>58</v>
      </c>
      <c r="C7489">
        <v>8989697390</v>
      </c>
      <c r="D7489" s="2">
        <v>1</v>
      </c>
      <c r="E7489" t="str">
        <f>"4574674200886372"</f>
        <v>4574674200886372</v>
      </c>
      <c r="F7489" t="str">
        <f>"364"</f>
        <v>364</v>
      </c>
      <c r="G7489">
        <v>1</v>
      </c>
      <c r="H7489">
        <v>2023</v>
      </c>
      <c r="I7489" t="s">
        <v>7604</v>
      </c>
    </row>
    <row r="7490" spans="1:9" x14ac:dyDescent="0.3">
      <c r="A7490" t="s">
        <v>10164</v>
      </c>
      <c r="B7490" t="s">
        <v>58</v>
      </c>
      <c r="C7490">
        <v>8989697390</v>
      </c>
      <c r="D7490" s="2">
        <v>1</v>
      </c>
      <c r="E7490" t="str">
        <f>"4574674200886406"</f>
        <v>4574674200886406</v>
      </c>
      <c r="F7490" t="str">
        <f>"418"</f>
        <v>418</v>
      </c>
      <c r="G7490">
        <v>1</v>
      </c>
      <c r="H7490">
        <v>2023</v>
      </c>
      <c r="I7490" t="s">
        <v>7605</v>
      </c>
    </row>
    <row r="7491" spans="1:9" x14ac:dyDescent="0.3">
      <c r="A7491" t="s">
        <v>10164</v>
      </c>
      <c r="B7491" t="s">
        <v>58</v>
      </c>
      <c r="C7491">
        <v>8989697390</v>
      </c>
      <c r="D7491" s="2">
        <v>1</v>
      </c>
      <c r="E7491" t="str">
        <f>"4574674200886133"</f>
        <v>4574674200886133</v>
      </c>
      <c r="F7491" t="str">
        <f>"867"</f>
        <v>867</v>
      </c>
      <c r="G7491">
        <v>1</v>
      </c>
      <c r="H7491">
        <v>2023</v>
      </c>
      <c r="I7491" t="s">
        <v>7606</v>
      </c>
    </row>
    <row r="7492" spans="1:9" x14ac:dyDescent="0.3">
      <c r="A7492" t="s">
        <v>10164</v>
      </c>
      <c r="B7492" t="s">
        <v>58</v>
      </c>
      <c r="C7492">
        <v>8989697390</v>
      </c>
      <c r="D7492" s="2">
        <v>1</v>
      </c>
      <c r="E7492" t="str">
        <f>"4574674200886166"</f>
        <v>4574674200886166</v>
      </c>
      <c r="F7492" t="str">
        <f>"074"</f>
        <v>074</v>
      </c>
      <c r="G7492">
        <v>1</v>
      </c>
      <c r="H7492">
        <v>2023</v>
      </c>
      <c r="I7492" t="s">
        <v>7607</v>
      </c>
    </row>
    <row r="7493" spans="1:9" x14ac:dyDescent="0.3">
      <c r="A7493" t="s">
        <v>10164</v>
      </c>
      <c r="B7493" t="s">
        <v>58</v>
      </c>
      <c r="C7493">
        <v>8989697390</v>
      </c>
      <c r="D7493" s="2">
        <v>1</v>
      </c>
      <c r="E7493" t="str">
        <f>"4574674200886497"</f>
        <v>4574674200886497</v>
      </c>
      <c r="F7493" t="str">
        <f>"272"</f>
        <v>272</v>
      </c>
      <c r="G7493">
        <v>1</v>
      </c>
      <c r="H7493">
        <v>2023</v>
      </c>
      <c r="I7493" t="s">
        <v>7608</v>
      </c>
    </row>
    <row r="7494" spans="1:9" x14ac:dyDescent="0.3">
      <c r="A7494" t="s">
        <v>10164</v>
      </c>
      <c r="B7494" t="s">
        <v>58</v>
      </c>
      <c r="C7494">
        <v>8989697390</v>
      </c>
      <c r="D7494" s="2">
        <v>1</v>
      </c>
      <c r="E7494" t="str">
        <f>"4574674200886505"</f>
        <v>4574674200886505</v>
      </c>
      <c r="F7494" t="str">
        <f>"248"</f>
        <v>248</v>
      </c>
      <c r="G7494">
        <v>1</v>
      </c>
      <c r="H7494">
        <v>2023</v>
      </c>
      <c r="I7494" t="s">
        <v>7609</v>
      </c>
    </row>
    <row r="7495" spans="1:9" x14ac:dyDescent="0.3">
      <c r="A7495" t="s">
        <v>10164</v>
      </c>
      <c r="B7495" t="s">
        <v>58</v>
      </c>
      <c r="C7495">
        <v>8989697390</v>
      </c>
      <c r="D7495" s="2">
        <v>1</v>
      </c>
      <c r="E7495" t="str">
        <f>"4574674200886612"</f>
        <v>4574674200886612</v>
      </c>
      <c r="F7495" t="str">
        <f>"430"</f>
        <v>430</v>
      </c>
      <c r="G7495">
        <v>1</v>
      </c>
      <c r="H7495">
        <v>2023</v>
      </c>
      <c r="I7495" t="s">
        <v>7610</v>
      </c>
    </row>
    <row r="7496" spans="1:9" x14ac:dyDescent="0.3">
      <c r="A7496" t="s">
        <v>10164</v>
      </c>
      <c r="B7496" t="s">
        <v>58</v>
      </c>
      <c r="C7496">
        <v>8989697390</v>
      </c>
      <c r="D7496" s="2">
        <v>1</v>
      </c>
      <c r="E7496" t="str">
        <f>"4574674200886513"</f>
        <v>4574674200886513</v>
      </c>
      <c r="F7496" t="str">
        <f>"988"</f>
        <v>988</v>
      </c>
      <c r="G7496">
        <v>1</v>
      </c>
      <c r="H7496">
        <v>2023</v>
      </c>
      <c r="I7496" t="s">
        <v>7611</v>
      </c>
    </row>
    <row r="7497" spans="1:9" x14ac:dyDescent="0.3">
      <c r="A7497" t="s">
        <v>10165</v>
      </c>
      <c r="B7497" t="s">
        <v>59</v>
      </c>
      <c r="C7497">
        <v>8989697390</v>
      </c>
      <c r="D7497" s="2">
        <v>1</v>
      </c>
      <c r="E7497" t="str">
        <f>"4574674200886521"</f>
        <v>4574674200886521</v>
      </c>
      <c r="F7497" t="str">
        <f>"832"</f>
        <v>832</v>
      </c>
      <c r="G7497">
        <v>1</v>
      </c>
      <c r="H7497">
        <v>2023</v>
      </c>
      <c r="I7497" t="s">
        <v>7612</v>
      </c>
    </row>
    <row r="7498" spans="1:9" x14ac:dyDescent="0.3">
      <c r="A7498" t="s">
        <v>10165</v>
      </c>
      <c r="B7498" t="s">
        <v>59</v>
      </c>
      <c r="C7498">
        <v>8989697390</v>
      </c>
      <c r="D7498" s="2">
        <v>1</v>
      </c>
      <c r="E7498" t="str">
        <f>"4574674200886836"</f>
        <v>4574674200886836</v>
      </c>
      <c r="F7498" t="str">
        <f>"607"</f>
        <v>607</v>
      </c>
      <c r="G7498">
        <v>1</v>
      </c>
      <c r="H7498">
        <v>2023</v>
      </c>
      <c r="I7498" t="s">
        <v>7613</v>
      </c>
    </row>
    <row r="7499" spans="1:9" x14ac:dyDescent="0.3">
      <c r="A7499" t="s">
        <v>10165</v>
      </c>
      <c r="B7499" t="s">
        <v>59</v>
      </c>
      <c r="C7499">
        <v>8989697390</v>
      </c>
      <c r="D7499" s="2">
        <v>1</v>
      </c>
      <c r="E7499" t="str">
        <f>"4574674200886851"</f>
        <v>4574674200886851</v>
      </c>
      <c r="F7499" t="str">
        <f>"031"</f>
        <v>031</v>
      </c>
      <c r="G7499">
        <v>1</v>
      </c>
      <c r="H7499">
        <v>2023</v>
      </c>
      <c r="I7499" t="s">
        <v>7614</v>
      </c>
    </row>
    <row r="7500" spans="1:9" x14ac:dyDescent="0.3">
      <c r="A7500" t="s">
        <v>10165</v>
      </c>
      <c r="B7500" t="s">
        <v>59</v>
      </c>
      <c r="C7500">
        <v>8989697390</v>
      </c>
      <c r="D7500" s="2">
        <v>1</v>
      </c>
      <c r="E7500" t="str">
        <f>"4574674200886653"</f>
        <v>4574674200886653</v>
      </c>
      <c r="F7500" t="str">
        <f>"425"</f>
        <v>425</v>
      </c>
      <c r="G7500">
        <v>1</v>
      </c>
      <c r="H7500">
        <v>2023</v>
      </c>
      <c r="I7500" t="s">
        <v>7615</v>
      </c>
    </row>
    <row r="7501" spans="1:9" x14ac:dyDescent="0.3">
      <c r="A7501" t="s">
        <v>10165</v>
      </c>
      <c r="B7501" t="s">
        <v>59</v>
      </c>
      <c r="C7501">
        <v>8989697390</v>
      </c>
      <c r="D7501" s="2">
        <v>1</v>
      </c>
      <c r="E7501" t="str">
        <f>"4574674200886901"</f>
        <v>4574674200886901</v>
      </c>
      <c r="F7501" t="str">
        <f>"934"</f>
        <v>934</v>
      </c>
      <c r="G7501">
        <v>1</v>
      </c>
      <c r="H7501">
        <v>2023</v>
      </c>
      <c r="I7501" t="s">
        <v>7616</v>
      </c>
    </row>
    <row r="7502" spans="1:9" x14ac:dyDescent="0.3">
      <c r="A7502" t="s">
        <v>10165</v>
      </c>
      <c r="B7502" t="s">
        <v>59</v>
      </c>
      <c r="C7502">
        <v>8989697390</v>
      </c>
      <c r="D7502" s="2">
        <v>1</v>
      </c>
      <c r="E7502" t="str">
        <f>"4574674200886695"</f>
        <v>4574674200886695</v>
      </c>
      <c r="F7502" t="str">
        <f>"983"</f>
        <v>983</v>
      </c>
      <c r="G7502">
        <v>1</v>
      </c>
      <c r="H7502">
        <v>2023</v>
      </c>
      <c r="I7502" t="s">
        <v>7617</v>
      </c>
    </row>
    <row r="7503" spans="1:9" x14ac:dyDescent="0.3">
      <c r="A7503" t="s">
        <v>10165</v>
      </c>
      <c r="B7503" t="s">
        <v>59</v>
      </c>
      <c r="C7503">
        <v>8989697390</v>
      </c>
      <c r="D7503" s="2">
        <v>1</v>
      </c>
      <c r="E7503" t="str">
        <f>"4574674200886927"</f>
        <v>4574674200886927</v>
      </c>
      <c r="F7503" t="str">
        <f>"389"</f>
        <v>389</v>
      </c>
      <c r="G7503">
        <v>1</v>
      </c>
      <c r="H7503">
        <v>2023</v>
      </c>
      <c r="I7503" t="s">
        <v>7618</v>
      </c>
    </row>
    <row r="7504" spans="1:9" x14ac:dyDescent="0.3">
      <c r="A7504" t="s">
        <v>10165</v>
      </c>
      <c r="B7504" t="s">
        <v>59</v>
      </c>
      <c r="C7504">
        <v>8989697390</v>
      </c>
      <c r="D7504" s="2">
        <v>1</v>
      </c>
      <c r="E7504" t="str">
        <f>"4574674200886992"</f>
        <v>4574674200886992</v>
      </c>
      <c r="F7504" t="str">
        <f>"217"</f>
        <v>217</v>
      </c>
      <c r="G7504">
        <v>1</v>
      </c>
      <c r="H7504">
        <v>2023</v>
      </c>
      <c r="I7504" t="s">
        <v>7619</v>
      </c>
    </row>
    <row r="7505" spans="1:9" x14ac:dyDescent="0.3">
      <c r="A7505" t="s">
        <v>10165</v>
      </c>
      <c r="B7505" t="s">
        <v>59</v>
      </c>
      <c r="C7505">
        <v>8989697390</v>
      </c>
      <c r="D7505" s="2">
        <v>1</v>
      </c>
      <c r="E7505" t="str">
        <f>"4574674200886737"</f>
        <v>4574674200886737</v>
      </c>
      <c r="F7505" t="str">
        <f>"554"</f>
        <v>554</v>
      </c>
      <c r="G7505">
        <v>1</v>
      </c>
      <c r="H7505">
        <v>2023</v>
      </c>
      <c r="I7505" t="s">
        <v>7620</v>
      </c>
    </row>
    <row r="7506" spans="1:9" x14ac:dyDescent="0.3">
      <c r="A7506" t="s">
        <v>10165</v>
      </c>
      <c r="B7506" t="s">
        <v>59</v>
      </c>
      <c r="C7506">
        <v>8989697390</v>
      </c>
      <c r="D7506" s="2">
        <v>1</v>
      </c>
      <c r="E7506" t="str">
        <f>"4574674200887057"</f>
        <v>4574674200887057</v>
      </c>
      <c r="F7506" t="str">
        <f>"031"</f>
        <v>031</v>
      </c>
      <c r="G7506">
        <v>1</v>
      </c>
      <c r="H7506">
        <v>2023</v>
      </c>
      <c r="I7506" t="s">
        <v>7621</v>
      </c>
    </row>
    <row r="7507" spans="1:9" x14ac:dyDescent="0.3">
      <c r="A7507" t="s">
        <v>10166</v>
      </c>
      <c r="B7507" t="s">
        <v>60</v>
      </c>
      <c r="C7507">
        <v>8989697390</v>
      </c>
      <c r="D7507" s="2">
        <v>1</v>
      </c>
      <c r="E7507" t="str">
        <f>"4574674200887065"</f>
        <v>4574674200887065</v>
      </c>
      <c r="F7507" t="str">
        <f>"290"</f>
        <v>290</v>
      </c>
      <c r="G7507">
        <v>1</v>
      </c>
      <c r="H7507">
        <v>2023</v>
      </c>
      <c r="I7507" t="s">
        <v>7622</v>
      </c>
    </row>
    <row r="7508" spans="1:9" x14ac:dyDescent="0.3">
      <c r="A7508" t="s">
        <v>10166</v>
      </c>
      <c r="B7508" t="s">
        <v>60</v>
      </c>
      <c r="C7508">
        <v>8989697390</v>
      </c>
      <c r="D7508" s="2">
        <v>1</v>
      </c>
      <c r="E7508" t="str">
        <f>"4574674200886786"</f>
        <v>4574674200886786</v>
      </c>
      <c r="F7508" t="str">
        <f>"221"</f>
        <v>221</v>
      </c>
      <c r="G7508">
        <v>1</v>
      </c>
      <c r="H7508">
        <v>2023</v>
      </c>
      <c r="I7508" t="s">
        <v>7623</v>
      </c>
    </row>
    <row r="7509" spans="1:9" x14ac:dyDescent="0.3">
      <c r="A7509" t="s">
        <v>10166</v>
      </c>
      <c r="B7509" t="s">
        <v>60</v>
      </c>
      <c r="C7509">
        <v>8989697390</v>
      </c>
      <c r="D7509" s="2">
        <v>1</v>
      </c>
      <c r="E7509" t="str">
        <f>"4574674200887115"</f>
        <v>4574674200887115</v>
      </c>
      <c r="F7509" t="str">
        <f>"325"</f>
        <v>325</v>
      </c>
      <c r="G7509">
        <v>1</v>
      </c>
      <c r="H7509">
        <v>2023</v>
      </c>
      <c r="I7509" t="s">
        <v>7624</v>
      </c>
    </row>
    <row r="7510" spans="1:9" x14ac:dyDescent="0.3">
      <c r="A7510" t="s">
        <v>10166</v>
      </c>
      <c r="B7510" t="s">
        <v>60</v>
      </c>
      <c r="C7510">
        <v>8989697390</v>
      </c>
      <c r="D7510" s="2">
        <v>1</v>
      </c>
      <c r="E7510" t="str">
        <f>"4574674200887164"</f>
        <v>4574674200887164</v>
      </c>
      <c r="F7510" t="str">
        <f>"736"</f>
        <v>736</v>
      </c>
      <c r="G7510">
        <v>1</v>
      </c>
      <c r="H7510">
        <v>2023</v>
      </c>
      <c r="I7510" t="s">
        <v>7625</v>
      </c>
    </row>
    <row r="7511" spans="1:9" x14ac:dyDescent="0.3">
      <c r="A7511" t="s">
        <v>10166</v>
      </c>
      <c r="B7511" t="s">
        <v>60</v>
      </c>
      <c r="C7511">
        <v>8989697390</v>
      </c>
      <c r="D7511" s="2">
        <v>1</v>
      </c>
      <c r="E7511" t="str">
        <f>"4574674200887180"</f>
        <v>4574674200887180</v>
      </c>
      <c r="F7511" t="str">
        <f>"942"</f>
        <v>942</v>
      </c>
      <c r="G7511">
        <v>1</v>
      </c>
      <c r="H7511">
        <v>2023</v>
      </c>
      <c r="I7511" t="s">
        <v>7626</v>
      </c>
    </row>
    <row r="7512" spans="1:9" x14ac:dyDescent="0.3">
      <c r="A7512" t="s">
        <v>10166</v>
      </c>
      <c r="B7512" t="s">
        <v>60</v>
      </c>
      <c r="C7512">
        <v>8989697390</v>
      </c>
      <c r="D7512" s="2">
        <v>1</v>
      </c>
      <c r="E7512" t="str">
        <f>"4574674200887206"</f>
        <v>4574674200887206</v>
      </c>
      <c r="F7512" t="str">
        <f>"707"</f>
        <v>707</v>
      </c>
      <c r="G7512">
        <v>1</v>
      </c>
      <c r="H7512">
        <v>2023</v>
      </c>
      <c r="I7512" t="s">
        <v>7627</v>
      </c>
    </row>
    <row r="7513" spans="1:9" x14ac:dyDescent="0.3">
      <c r="A7513" t="s">
        <v>10166</v>
      </c>
      <c r="B7513" t="s">
        <v>60</v>
      </c>
      <c r="C7513">
        <v>8989697390</v>
      </c>
      <c r="D7513" s="2">
        <v>1</v>
      </c>
      <c r="E7513" t="str">
        <f>"4574674200886794"</f>
        <v>4574674200886794</v>
      </c>
      <c r="F7513" t="str">
        <f>"328"</f>
        <v>328</v>
      </c>
      <c r="G7513">
        <v>1</v>
      </c>
      <c r="H7513">
        <v>2023</v>
      </c>
      <c r="I7513" t="s">
        <v>7628</v>
      </c>
    </row>
    <row r="7514" spans="1:9" x14ac:dyDescent="0.3">
      <c r="A7514" t="s">
        <v>10166</v>
      </c>
      <c r="B7514" t="s">
        <v>60</v>
      </c>
      <c r="C7514">
        <v>8989697390</v>
      </c>
      <c r="D7514" s="2">
        <v>1</v>
      </c>
      <c r="E7514" t="str">
        <f>"4574674200887446"</f>
        <v>4574674200887446</v>
      </c>
      <c r="F7514" t="str">
        <f>"491"</f>
        <v>491</v>
      </c>
      <c r="G7514">
        <v>1</v>
      </c>
      <c r="H7514">
        <v>2023</v>
      </c>
      <c r="I7514" t="s">
        <v>7629</v>
      </c>
    </row>
    <row r="7515" spans="1:9" x14ac:dyDescent="0.3">
      <c r="A7515" t="s">
        <v>10166</v>
      </c>
      <c r="B7515" t="s">
        <v>60</v>
      </c>
      <c r="C7515">
        <v>8989697390</v>
      </c>
      <c r="D7515" s="2">
        <v>1</v>
      </c>
      <c r="E7515" t="str">
        <f>"4574674200887230"</f>
        <v>4574674200887230</v>
      </c>
      <c r="F7515" t="str">
        <f>"896"</f>
        <v>896</v>
      </c>
      <c r="G7515">
        <v>1</v>
      </c>
      <c r="H7515">
        <v>2023</v>
      </c>
      <c r="I7515" t="s">
        <v>7630</v>
      </c>
    </row>
    <row r="7516" spans="1:9" x14ac:dyDescent="0.3">
      <c r="A7516" t="s">
        <v>10166</v>
      </c>
      <c r="B7516" t="s">
        <v>60</v>
      </c>
      <c r="C7516">
        <v>8989697390</v>
      </c>
      <c r="D7516" s="2">
        <v>1</v>
      </c>
      <c r="E7516" t="str">
        <f>"4574674200887297"</f>
        <v>4574674200887297</v>
      </c>
      <c r="F7516" t="str">
        <f>"341"</f>
        <v>341</v>
      </c>
      <c r="G7516">
        <v>1</v>
      </c>
      <c r="H7516">
        <v>2023</v>
      </c>
      <c r="I7516" t="s">
        <v>7631</v>
      </c>
    </row>
    <row r="7517" spans="1:9" x14ac:dyDescent="0.3">
      <c r="A7517" t="s">
        <v>10146</v>
      </c>
      <c r="B7517" t="s">
        <v>61</v>
      </c>
      <c r="C7517">
        <v>8989697390</v>
      </c>
      <c r="D7517" s="2">
        <v>1</v>
      </c>
      <c r="E7517" t="str">
        <f>"4574674200887503"</f>
        <v>4574674200887503</v>
      </c>
      <c r="F7517" t="str">
        <f>"443"</f>
        <v>443</v>
      </c>
      <c r="G7517">
        <v>1</v>
      </c>
      <c r="H7517">
        <v>2023</v>
      </c>
      <c r="I7517" t="s">
        <v>7632</v>
      </c>
    </row>
    <row r="7518" spans="1:9" x14ac:dyDescent="0.3">
      <c r="A7518" t="s">
        <v>10146</v>
      </c>
      <c r="B7518" t="s">
        <v>61</v>
      </c>
      <c r="C7518">
        <v>8989697390</v>
      </c>
      <c r="D7518" s="2">
        <v>1</v>
      </c>
      <c r="E7518" t="str">
        <f>"4574674200887354"</f>
        <v>4574674200887354</v>
      </c>
      <c r="F7518" t="str">
        <f>"640"</f>
        <v>640</v>
      </c>
      <c r="G7518">
        <v>1</v>
      </c>
      <c r="H7518">
        <v>2023</v>
      </c>
      <c r="I7518" t="s">
        <v>7633</v>
      </c>
    </row>
    <row r="7519" spans="1:9" x14ac:dyDescent="0.3">
      <c r="A7519" t="s">
        <v>10146</v>
      </c>
      <c r="B7519" t="s">
        <v>61</v>
      </c>
      <c r="C7519">
        <v>8989697390</v>
      </c>
      <c r="D7519" s="2">
        <v>1</v>
      </c>
      <c r="E7519" t="str">
        <f>"4574674200887362"</f>
        <v>4574674200887362</v>
      </c>
      <c r="F7519" t="str">
        <f>"866"</f>
        <v>866</v>
      </c>
      <c r="G7519">
        <v>1</v>
      </c>
      <c r="H7519">
        <v>2023</v>
      </c>
      <c r="I7519" t="s">
        <v>7634</v>
      </c>
    </row>
    <row r="7520" spans="1:9" x14ac:dyDescent="0.3">
      <c r="A7520" t="s">
        <v>10146</v>
      </c>
      <c r="B7520" t="s">
        <v>61</v>
      </c>
      <c r="C7520">
        <v>8989697390</v>
      </c>
      <c r="D7520" s="2">
        <v>1</v>
      </c>
      <c r="E7520" t="str">
        <f>"4574674200887511"</f>
        <v>4574674200887511</v>
      </c>
      <c r="F7520" t="str">
        <f>"414"</f>
        <v>414</v>
      </c>
      <c r="G7520">
        <v>1</v>
      </c>
      <c r="H7520">
        <v>2023</v>
      </c>
      <c r="I7520" t="s">
        <v>7635</v>
      </c>
    </row>
    <row r="7521" spans="1:9" x14ac:dyDescent="0.3">
      <c r="A7521" t="s">
        <v>10146</v>
      </c>
      <c r="B7521" t="s">
        <v>61</v>
      </c>
      <c r="C7521">
        <v>8989697390</v>
      </c>
      <c r="D7521" s="2">
        <v>1</v>
      </c>
      <c r="E7521" t="str">
        <f>"4574674200887529"</f>
        <v>4574674200887529</v>
      </c>
      <c r="F7521" t="str">
        <f>"606"</f>
        <v>606</v>
      </c>
      <c r="G7521">
        <v>1</v>
      </c>
      <c r="H7521">
        <v>2023</v>
      </c>
      <c r="I7521" t="s">
        <v>7636</v>
      </c>
    </row>
    <row r="7522" spans="1:9" x14ac:dyDescent="0.3">
      <c r="A7522" t="s">
        <v>10146</v>
      </c>
      <c r="B7522" t="s">
        <v>61</v>
      </c>
      <c r="C7522">
        <v>8989697390</v>
      </c>
      <c r="D7522" s="2">
        <v>1</v>
      </c>
      <c r="E7522" t="str">
        <f>"4574674200887677"</f>
        <v>4574674200887677</v>
      </c>
      <c r="F7522" t="str">
        <f>"049"</f>
        <v>049</v>
      </c>
      <c r="G7522">
        <v>1</v>
      </c>
      <c r="H7522">
        <v>2023</v>
      </c>
      <c r="I7522" t="s">
        <v>7637</v>
      </c>
    </row>
    <row r="7523" spans="1:9" x14ac:dyDescent="0.3">
      <c r="A7523" t="s">
        <v>10146</v>
      </c>
      <c r="B7523" t="s">
        <v>61</v>
      </c>
      <c r="C7523">
        <v>8989697390</v>
      </c>
      <c r="D7523" s="2">
        <v>1</v>
      </c>
      <c r="E7523" t="str">
        <f>"4574674200887669"</f>
        <v>4574674200887669</v>
      </c>
      <c r="F7523" t="str">
        <f>"141"</f>
        <v>141</v>
      </c>
      <c r="G7523">
        <v>1</v>
      </c>
      <c r="H7523">
        <v>2023</v>
      </c>
      <c r="I7523" t="s">
        <v>7638</v>
      </c>
    </row>
    <row r="7524" spans="1:9" x14ac:dyDescent="0.3">
      <c r="A7524" t="s">
        <v>10146</v>
      </c>
      <c r="B7524" t="s">
        <v>61</v>
      </c>
      <c r="C7524">
        <v>8989697390</v>
      </c>
      <c r="D7524" s="2">
        <v>1</v>
      </c>
      <c r="E7524" t="str">
        <f>"4574674200887826"</f>
        <v>4574674200887826</v>
      </c>
      <c r="F7524" t="str">
        <f>"865"</f>
        <v>865</v>
      </c>
      <c r="G7524">
        <v>1</v>
      </c>
      <c r="H7524">
        <v>2023</v>
      </c>
      <c r="I7524" t="s">
        <v>7639</v>
      </c>
    </row>
    <row r="7525" spans="1:9" x14ac:dyDescent="0.3">
      <c r="A7525" t="s">
        <v>10146</v>
      </c>
      <c r="B7525" t="s">
        <v>61</v>
      </c>
      <c r="C7525">
        <v>8989697390</v>
      </c>
      <c r="D7525" s="2">
        <v>1</v>
      </c>
      <c r="E7525" t="str">
        <f>"4574674200887784"</f>
        <v>4574674200887784</v>
      </c>
      <c r="F7525" t="str">
        <f>"866"</f>
        <v>866</v>
      </c>
      <c r="G7525">
        <v>1</v>
      </c>
      <c r="H7525">
        <v>2023</v>
      </c>
      <c r="I7525" t="s">
        <v>7640</v>
      </c>
    </row>
    <row r="7526" spans="1:9" x14ac:dyDescent="0.3">
      <c r="A7526" t="s">
        <v>10146</v>
      </c>
      <c r="B7526" t="s">
        <v>61</v>
      </c>
      <c r="C7526">
        <v>8989697390</v>
      </c>
      <c r="D7526" s="2">
        <v>1</v>
      </c>
      <c r="E7526" t="str">
        <f>"4574674200888022"</f>
        <v>4574674200888022</v>
      </c>
      <c r="F7526" t="str">
        <f>"420"</f>
        <v>420</v>
      </c>
      <c r="G7526">
        <v>1</v>
      </c>
      <c r="H7526">
        <v>2023</v>
      </c>
      <c r="I7526" t="s">
        <v>7641</v>
      </c>
    </row>
    <row r="7527" spans="1:9" x14ac:dyDescent="0.3">
      <c r="A7527" t="s">
        <v>10147</v>
      </c>
      <c r="B7527" t="s">
        <v>62</v>
      </c>
      <c r="C7527">
        <v>8989697390</v>
      </c>
      <c r="D7527" s="2">
        <v>1</v>
      </c>
      <c r="E7527" t="str">
        <f>"4574674200889921"</f>
        <v>4574674200889921</v>
      </c>
      <c r="F7527" t="str">
        <f>"712"</f>
        <v>712</v>
      </c>
      <c r="G7527">
        <v>1</v>
      </c>
      <c r="H7527">
        <v>2023</v>
      </c>
      <c r="I7527" t="s">
        <v>7642</v>
      </c>
    </row>
    <row r="7528" spans="1:9" x14ac:dyDescent="0.3">
      <c r="A7528" t="s">
        <v>10147</v>
      </c>
      <c r="B7528" t="s">
        <v>62</v>
      </c>
      <c r="C7528">
        <v>8989697390</v>
      </c>
      <c r="D7528" s="2">
        <v>1</v>
      </c>
      <c r="E7528" t="str">
        <f>"4574674200890267"</f>
        <v>4574674200890267</v>
      </c>
      <c r="F7528" t="str">
        <f>"466"</f>
        <v>466</v>
      </c>
      <c r="G7528">
        <v>1</v>
      </c>
      <c r="H7528">
        <v>2023</v>
      </c>
      <c r="I7528" t="s">
        <v>7643</v>
      </c>
    </row>
    <row r="7529" spans="1:9" x14ac:dyDescent="0.3">
      <c r="A7529" t="s">
        <v>10147</v>
      </c>
      <c r="B7529" t="s">
        <v>62</v>
      </c>
      <c r="C7529">
        <v>8989697390</v>
      </c>
      <c r="D7529" s="2">
        <v>1</v>
      </c>
      <c r="E7529" t="str">
        <f>"4574674200890424"</f>
        <v>4574674200890424</v>
      </c>
      <c r="F7529" t="str">
        <f>"977"</f>
        <v>977</v>
      </c>
      <c r="G7529">
        <v>1</v>
      </c>
      <c r="H7529">
        <v>2023</v>
      </c>
      <c r="I7529" t="s">
        <v>7644</v>
      </c>
    </row>
    <row r="7530" spans="1:9" x14ac:dyDescent="0.3">
      <c r="A7530" t="s">
        <v>10147</v>
      </c>
      <c r="B7530" t="s">
        <v>62</v>
      </c>
      <c r="C7530">
        <v>8989697390</v>
      </c>
      <c r="D7530" s="2">
        <v>1</v>
      </c>
      <c r="E7530" t="str">
        <f>"4574674200890333"</f>
        <v>4574674200890333</v>
      </c>
      <c r="F7530" t="str">
        <f>"879"</f>
        <v>879</v>
      </c>
      <c r="G7530">
        <v>1</v>
      </c>
      <c r="H7530">
        <v>2023</v>
      </c>
      <c r="I7530" t="s">
        <v>7645</v>
      </c>
    </row>
    <row r="7531" spans="1:9" x14ac:dyDescent="0.3">
      <c r="A7531" t="s">
        <v>10147</v>
      </c>
      <c r="B7531" t="s">
        <v>62</v>
      </c>
      <c r="C7531">
        <v>8989697390</v>
      </c>
      <c r="D7531" s="2">
        <v>1</v>
      </c>
      <c r="E7531" t="str">
        <f>"4574674200890630"</f>
        <v>4574674200890630</v>
      </c>
      <c r="F7531" t="str">
        <f>"104"</f>
        <v>104</v>
      </c>
      <c r="G7531">
        <v>1</v>
      </c>
      <c r="H7531">
        <v>2023</v>
      </c>
      <c r="I7531" t="s">
        <v>7646</v>
      </c>
    </row>
    <row r="7532" spans="1:9" x14ac:dyDescent="0.3">
      <c r="A7532" t="s">
        <v>10147</v>
      </c>
      <c r="B7532" t="s">
        <v>62</v>
      </c>
      <c r="C7532">
        <v>8989697390</v>
      </c>
      <c r="D7532" s="2">
        <v>1</v>
      </c>
      <c r="E7532" t="str">
        <f>"4574674200890499"</f>
        <v>4574674200890499</v>
      </c>
      <c r="F7532" t="str">
        <f>"423"</f>
        <v>423</v>
      </c>
      <c r="G7532">
        <v>1</v>
      </c>
      <c r="H7532">
        <v>2023</v>
      </c>
      <c r="I7532" t="s">
        <v>7647</v>
      </c>
    </row>
    <row r="7533" spans="1:9" x14ac:dyDescent="0.3">
      <c r="A7533" t="s">
        <v>10147</v>
      </c>
      <c r="B7533" t="s">
        <v>62</v>
      </c>
      <c r="C7533">
        <v>8989697390</v>
      </c>
      <c r="D7533" s="2">
        <v>1</v>
      </c>
      <c r="E7533" t="str">
        <f>"4574674200890531"</f>
        <v>4574674200890531</v>
      </c>
      <c r="F7533" t="str">
        <f>"511"</f>
        <v>511</v>
      </c>
      <c r="G7533">
        <v>1</v>
      </c>
      <c r="H7533">
        <v>2023</v>
      </c>
      <c r="I7533" t="s">
        <v>7648</v>
      </c>
    </row>
    <row r="7534" spans="1:9" x14ac:dyDescent="0.3">
      <c r="A7534" t="s">
        <v>10147</v>
      </c>
      <c r="B7534" t="s">
        <v>62</v>
      </c>
      <c r="C7534">
        <v>8989697390</v>
      </c>
      <c r="D7534" s="2">
        <v>1</v>
      </c>
      <c r="E7534" t="str">
        <f>"4574674200890705"</f>
        <v>4574674200890705</v>
      </c>
      <c r="F7534" t="str">
        <f>"224"</f>
        <v>224</v>
      </c>
      <c r="G7534">
        <v>1</v>
      </c>
      <c r="H7534">
        <v>2023</v>
      </c>
      <c r="I7534" t="s">
        <v>7649</v>
      </c>
    </row>
    <row r="7535" spans="1:9" x14ac:dyDescent="0.3">
      <c r="A7535" t="s">
        <v>10147</v>
      </c>
      <c r="B7535" t="s">
        <v>62</v>
      </c>
      <c r="C7535">
        <v>8989697390</v>
      </c>
      <c r="D7535" s="2">
        <v>1</v>
      </c>
      <c r="E7535" t="str">
        <f>"4574674200890572"</f>
        <v>4574674200890572</v>
      </c>
      <c r="F7535" t="str">
        <f>"063"</f>
        <v>063</v>
      </c>
      <c r="G7535">
        <v>1</v>
      </c>
      <c r="H7535">
        <v>2023</v>
      </c>
      <c r="I7535" t="s">
        <v>7650</v>
      </c>
    </row>
    <row r="7536" spans="1:9" x14ac:dyDescent="0.3">
      <c r="A7536" t="s">
        <v>10147</v>
      </c>
      <c r="B7536" t="s">
        <v>62</v>
      </c>
      <c r="C7536">
        <v>8989697390</v>
      </c>
      <c r="D7536" s="2">
        <v>1</v>
      </c>
      <c r="E7536" t="str">
        <f>"4574674200890598"</f>
        <v>4574674200890598</v>
      </c>
      <c r="F7536" t="str">
        <f>"011"</f>
        <v>011</v>
      </c>
      <c r="G7536">
        <v>1</v>
      </c>
      <c r="H7536">
        <v>2023</v>
      </c>
      <c r="I7536" t="s">
        <v>7651</v>
      </c>
    </row>
    <row r="7537" spans="1:9" x14ac:dyDescent="0.3">
      <c r="A7537" t="s">
        <v>10167</v>
      </c>
      <c r="B7537" t="s">
        <v>63</v>
      </c>
      <c r="C7537">
        <v>8989697390</v>
      </c>
      <c r="D7537" s="2">
        <v>1</v>
      </c>
      <c r="E7537" t="str">
        <f>"4574674200890788"</f>
        <v>4574674200890788</v>
      </c>
      <c r="F7537" t="str">
        <f>"770"</f>
        <v>770</v>
      </c>
      <c r="G7537">
        <v>1</v>
      </c>
      <c r="H7537">
        <v>2023</v>
      </c>
      <c r="I7537" t="s">
        <v>7652</v>
      </c>
    </row>
    <row r="7538" spans="1:9" x14ac:dyDescent="0.3">
      <c r="A7538" t="s">
        <v>10167</v>
      </c>
      <c r="B7538" t="s">
        <v>63</v>
      </c>
      <c r="C7538">
        <v>8989697390</v>
      </c>
      <c r="D7538" s="2">
        <v>1</v>
      </c>
      <c r="E7538" t="str">
        <f>"4574674200891026"</f>
        <v>4574674200891026</v>
      </c>
      <c r="F7538" t="str">
        <f>"172"</f>
        <v>172</v>
      </c>
      <c r="G7538">
        <v>1</v>
      </c>
      <c r="H7538">
        <v>2023</v>
      </c>
      <c r="I7538" t="s">
        <v>7653</v>
      </c>
    </row>
    <row r="7539" spans="1:9" x14ac:dyDescent="0.3">
      <c r="A7539" t="s">
        <v>10167</v>
      </c>
      <c r="B7539" t="s">
        <v>63</v>
      </c>
      <c r="C7539">
        <v>8989697390</v>
      </c>
      <c r="D7539" s="2">
        <v>1</v>
      </c>
      <c r="E7539" t="str">
        <f>"4574674200890853"</f>
        <v>4574674200890853</v>
      </c>
      <c r="F7539" t="str">
        <f>"325"</f>
        <v>325</v>
      </c>
      <c r="G7539">
        <v>1</v>
      </c>
      <c r="H7539">
        <v>2023</v>
      </c>
      <c r="I7539" t="s">
        <v>7654</v>
      </c>
    </row>
    <row r="7540" spans="1:9" x14ac:dyDescent="0.3">
      <c r="A7540" t="s">
        <v>10167</v>
      </c>
      <c r="B7540" t="s">
        <v>63</v>
      </c>
      <c r="C7540">
        <v>8989697390</v>
      </c>
      <c r="D7540" s="2">
        <v>1</v>
      </c>
      <c r="E7540" t="str">
        <f>"4574674200891067"</f>
        <v>4574674200891067</v>
      </c>
      <c r="F7540" t="str">
        <f>"189"</f>
        <v>189</v>
      </c>
      <c r="G7540">
        <v>1</v>
      </c>
      <c r="H7540">
        <v>2023</v>
      </c>
      <c r="I7540" t="s">
        <v>7655</v>
      </c>
    </row>
    <row r="7541" spans="1:9" x14ac:dyDescent="0.3">
      <c r="A7541" t="s">
        <v>10167</v>
      </c>
      <c r="B7541" t="s">
        <v>63</v>
      </c>
      <c r="C7541">
        <v>8989697390</v>
      </c>
      <c r="D7541" s="2">
        <v>1</v>
      </c>
      <c r="E7541" t="str">
        <f>"4574674200891091"</f>
        <v>4574674200891091</v>
      </c>
      <c r="F7541" t="str">
        <f>"310"</f>
        <v>310</v>
      </c>
      <c r="G7541">
        <v>1</v>
      </c>
      <c r="H7541">
        <v>2023</v>
      </c>
      <c r="I7541" t="s">
        <v>7656</v>
      </c>
    </row>
    <row r="7542" spans="1:9" x14ac:dyDescent="0.3">
      <c r="A7542" t="s">
        <v>10167</v>
      </c>
      <c r="B7542" t="s">
        <v>63</v>
      </c>
      <c r="C7542">
        <v>8989697390</v>
      </c>
      <c r="D7542" s="2">
        <v>1</v>
      </c>
      <c r="E7542" t="str">
        <f>"4574674200891141"</f>
        <v>4574674200891141</v>
      </c>
      <c r="F7542" t="str">
        <f>"038"</f>
        <v>038</v>
      </c>
      <c r="G7542">
        <v>1</v>
      </c>
      <c r="H7542">
        <v>2023</v>
      </c>
      <c r="I7542" t="s">
        <v>7657</v>
      </c>
    </row>
    <row r="7543" spans="1:9" x14ac:dyDescent="0.3">
      <c r="A7543" t="s">
        <v>10167</v>
      </c>
      <c r="B7543" t="s">
        <v>63</v>
      </c>
      <c r="C7543">
        <v>8989697390</v>
      </c>
      <c r="D7543" s="2">
        <v>1</v>
      </c>
      <c r="E7543" t="str">
        <f>"4574674200890895"</f>
        <v>4574674200890895</v>
      </c>
      <c r="F7543" t="str">
        <f>"598"</f>
        <v>598</v>
      </c>
      <c r="G7543">
        <v>1</v>
      </c>
      <c r="H7543">
        <v>2023</v>
      </c>
      <c r="I7543" t="s">
        <v>7658</v>
      </c>
    </row>
    <row r="7544" spans="1:9" x14ac:dyDescent="0.3">
      <c r="A7544" t="s">
        <v>10167</v>
      </c>
      <c r="B7544" t="s">
        <v>63</v>
      </c>
      <c r="C7544">
        <v>8989697390</v>
      </c>
      <c r="D7544" s="2">
        <v>1</v>
      </c>
      <c r="E7544" t="str">
        <f>"4574674200890903"</f>
        <v>4574674200890903</v>
      </c>
      <c r="F7544" t="str">
        <f>"073"</f>
        <v>073</v>
      </c>
      <c r="G7544">
        <v>1</v>
      </c>
      <c r="H7544">
        <v>2023</v>
      </c>
      <c r="I7544" t="s">
        <v>7659</v>
      </c>
    </row>
    <row r="7545" spans="1:9" x14ac:dyDescent="0.3">
      <c r="A7545" t="s">
        <v>10167</v>
      </c>
      <c r="B7545" t="s">
        <v>63</v>
      </c>
      <c r="C7545">
        <v>8989697390</v>
      </c>
      <c r="D7545" s="2">
        <v>1</v>
      </c>
      <c r="E7545" t="str">
        <f>"4574674200890952"</f>
        <v>4574674200890952</v>
      </c>
      <c r="F7545" t="str">
        <f>"551"</f>
        <v>551</v>
      </c>
      <c r="G7545">
        <v>1</v>
      </c>
      <c r="H7545">
        <v>2023</v>
      </c>
      <c r="I7545" t="s">
        <v>7660</v>
      </c>
    </row>
    <row r="7546" spans="1:9" x14ac:dyDescent="0.3">
      <c r="A7546" t="s">
        <v>10167</v>
      </c>
      <c r="B7546" t="s">
        <v>63</v>
      </c>
      <c r="C7546">
        <v>8989697390</v>
      </c>
      <c r="D7546" s="2">
        <v>1</v>
      </c>
      <c r="E7546" t="str">
        <f>"4574674200891190"</f>
        <v>4574674200891190</v>
      </c>
      <c r="F7546" t="str">
        <f>"290"</f>
        <v>290</v>
      </c>
      <c r="G7546">
        <v>1</v>
      </c>
      <c r="H7546">
        <v>2023</v>
      </c>
      <c r="I7546" t="s">
        <v>7661</v>
      </c>
    </row>
    <row r="7547" spans="1:9" x14ac:dyDescent="0.3">
      <c r="A7547" t="s">
        <v>10157</v>
      </c>
      <c r="B7547" t="s">
        <v>64</v>
      </c>
      <c r="C7547">
        <v>8989697390</v>
      </c>
      <c r="D7547" s="2">
        <v>1</v>
      </c>
      <c r="E7547" t="str">
        <f>"4574674200891216"</f>
        <v>4574674200891216</v>
      </c>
      <c r="F7547" t="str">
        <f>"429"</f>
        <v>429</v>
      </c>
      <c r="G7547">
        <v>1</v>
      </c>
      <c r="H7547">
        <v>2023</v>
      </c>
      <c r="I7547" t="s">
        <v>7662</v>
      </c>
    </row>
    <row r="7548" spans="1:9" x14ac:dyDescent="0.3">
      <c r="A7548" t="s">
        <v>10157</v>
      </c>
      <c r="B7548" t="s">
        <v>64</v>
      </c>
      <c r="C7548">
        <v>8989697390</v>
      </c>
      <c r="D7548" s="2">
        <v>1</v>
      </c>
      <c r="E7548" t="str">
        <f>"4574674200891265"</f>
        <v>4574674200891265</v>
      </c>
      <c r="F7548" t="str">
        <f>"941"</f>
        <v>941</v>
      </c>
      <c r="G7548">
        <v>1</v>
      </c>
      <c r="H7548">
        <v>2023</v>
      </c>
      <c r="I7548" t="s">
        <v>7663</v>
      </c>
    </row>
    <row r="7549" spans="1:9" x14ac:dyDescent="0.3">
      <c r="A7549" t="s">
        <v>10157</v>
      </c>
      <c r="B7549" t="s">
        <v>64</v>
      </c>
      <c r="C7549">
        <v>8989697390</v>
      </c>
      <c r="D7549" s="2">
        <v>1</v>
      </c>
      <c r="E7549" t="str">
        <f>"4574674200891281"</f>
        <v>4574674200891281</v>
      </c>
      <c r="F7549" t="str">
        <f>"233"</f>
        <v>233</v>
      </c>
      <c r="G7549">
        <v>1</v>
      </c>
      <c r="H7549">
        <v>2023</v>
      </c>
      <c r="I7549" t="s">
        <v>7664</v>
      </c>
    </row>
    <row r="7550" spans="1:9" x14ac:dyDescent="0.3">
      <c r="A7550" t="s">
        <v>10157</v>
      </c>
      <c r="B7550" t="s">
        <v>64</v>
      </c>
      <c r="C7550">
        <v>8989697390</v>
      </c>
      <c r="D7550" s="2">
        <v>1</v>
      </c>
      <c r="E7550" t="str">
        <f>"4574674200891430"</f>
        <v>4574674200891430</v>
      </c>
      <c r="F7550" t="str">
        <f>"628"</f>
        <v>628</v>
      </c>
      <c r="G7550">
        <v>1</v>
      </c>
      <c r="H7550">
        <v>2023</v>
      </c>
      <c r="I7550" t="s">
        <v>7665</v>
      </c>
    </row>
    <row r="7551" spans="1:9" x14ac:dyDescent="0.3">
      <c r="A7551" t="s">
        <v>10157</v>
      </c>
      <c r="B7551" t="s">
        <v>64</v>
      </c>
      <c r="C7551">
        <v>8989697390</v>
      </c>
      <c r="D7551" s="2">
        <v>1</v>
      </c>
      <c r="E7551" t="str">
        <f>"4574674200891448"</f>
        <v>4574674200891448</v>
      </c>
      <c r="F7551" t="str">
        <f>"425"</f>
        <v>425</v>
      </c>
      <c r="G7551">
        <v>1</v>
      </c>
      <c r="H7551">
        <v>2023</v>
      </c>
      <c r="I7551" t="s">
        <v>7666</v>
      </c>
    </row>
    <row r="7552" spans="1:9" x14ac:dyDescent="0.3">
      <c r="A7552" t="s">
        <v>10157</v>
      </c>
      <c r="B7552" t="s">
        <v>64</v>
      </c>
      <c r="C7552">
        <v>8989697390</v>
      </c>
      <c r="D7552" s="2">
        <v>1</v>
      </c>
      <c r="E7552" t="str">
        <f>"4574674200891455"</f>
        <v>4574674200891455</v>
      </c>
      <c r="F7552" t="str">
        <f>"781"</f>
        <v>781</v>
      </c>
      <c r="G7552">
        <v>1</v>
      </c>
      <c r="H7552">
        <v>2023</v>
      </c>
      <c r="I7552" t="s">
        <v>7667</v>
      </c>
    </row>
    <row r="7553" spans="1:9" x14ac:dyDescent="0.3">
      <c r="A7553" t="s">
        <v>10157</v>
      </c>
      <c r="B7553" t="s">
        <v>64</v>
      </c>
      <c r="C7553">
        <v>8989697390</v>
      </c>
      <c r="D7553" s="2">
        <v>1</v>
      </c>
      <c r="E7553" t="str">
        <f>"4574674200891323"</f>
        <v>4574674200891323</v>
      </c>
      <c r="F7553" t="str">
        <f>"359"</f>
        <v>359</v>
      </c>
      <c r="G7553">
        <v>1</v>
      </c>
      <c r="H7553">
        <v>2023</v>
      </c>
      <c r="I7553" t="s">
        <v>7668</v>
      </c>
    </row>
    <row r="7554" spans="1:9" x14ac:dyDescent="0.3">
      <c r="A7554" t="s">
        <v>10157</v>
      </c>
      <c r="B7554" t="s">
        <v>64</v>
      </c>
      <c r="C7554">
        <v>8989697390</v>
      </c>
      <c r="D7554" s="2">
        <v>1</v>
      </c>
      <c r="E7554" t="str">
        <f>"4574674200891380"</f>
        <v>4574674200891380</v>
      </c>
      <c r="F7554" t="str">
        <f>"544"</f>
        <v>544</v>
      </c>
      <c r="G7554">
        <v>1</v>
      </c>
      <c r="H7554">
        <v>2023</v>
      </c>
      <c r="I7554" t="s">
        <v>7669</v>
      </c>
    </row>
    <row r="7555" spans="1:9" x14ac:dyDescent="0.3">
      <c r="A7555" t="s">
        <v>10157</v>
      </c>
      <c r="B7555" t="s">
        <v>64</v>
      </c>
      <c r="C7555">
        <v>8989697390</v>
      </c>
      <c r="D7555" s="2">
        <v>1</v>
      </c>
      <c r="E7555" t="str">
        <f>"4574674200891646"</f>
        <v>4574674200891646</v>
      </c>
      <c r="F7555" t="str">
        <f>"779"</f>
        <v>779</v>
      </c>
      <c r="G7555">
        <v>1</v>
      </c>
      <c r="H7555">
        <v>2023</v>
      </c>
      <c r="I7555" t="s">
        <v>7670</v>
      </c>
    </row>
    <row r="7556" spans="1:9" x14ac:dyDescent="0.3">
      <c r="A7556" t="s">
        <v>10157</v>
      </c>
      <c r="B7556" t="s">
        <v>64</v>
      </c>
      <c r="C7556">
        <v>8989697390</v>
      </c>
      <c r="D7556" s="2">
        <v>1</v>
      </c>
      <c r="E7556" t="str">
        <f>"4574674200891620"</f>
        <v>4574674200891620</v>
      </c>
      <c r="F7556" t="str">
        <f>"186"</f>
        <v>186</v>
      </c>
      <c r="G7556">
        <v>1</v>
      </c>
      <c r="H7556">
        <v>2023</v>
      </c>
      <c r="I7556" t="s">
        <v>7671</v>
      </c>
    </row>
    <row r="7557" spans="1:9" x14ac:dyDescent="0.3">
      <c r="A7557" t="s">
        <v>10158</v>
      </c>
      <c r="B7557" t="s">
        <v>65</v>
      </c>
      <c r="C7557">
        <v>8989697390</v>
      </c>
      <c r="D7557" s="2">
        <v>1</v>
      </c>
      <c r="E7557" t="str">
        <f>"4574674200891521"</f>
        <v>4574674200891521</v>
      </c>
      <c r="F7557" t="str">
        <f>"925"</f>
        <v>925</v>
      </c>
      <c r="G7557">
        <v>1</v>
      </c>
      <c r="H7557">
        <v>2023</v>
      </c>
      <c r="I7557" t="s">
        <v>7672</v>
      </c>
    </row>
    <row r="7558" spans="1:9" x14ac:dyDescent="0.3">
      <c r="A7558" t="s">
        <v>10158</v>
      </c>
      <c r="B7558" t="s">
        <v>65</v>
      </c>
      <c r="C7558">
        <v>8989697390</v>
      </c>
      <c r="D7558" s="2">
        <v>1</v>
      </c>
      <c r="E7558" t="str">
        <f>"4574674200891570"</f>
        <v>4574674200891570</v>
      </c>
      <c r="F7558" t="str">
        <f>"241"</f>
        <v>241</v>
      </c>
      <c r="G7558">
        <v>1</v>
      </c>
      <c r="H7558">
        <v>2023</v>
      </c>
      <c r="I7558" t="s">
        <v>7673</v>
      </c>
    </row>
    <row r="7559" spans="1:9" x14ac:dyDescent="0.3">
      <c r="A7559" t="s">
        <v>10158</v>
      </c>
      <c r="B7559" t="s">
        <v>65</v>
      </c>
      <c r="C7559">
        <v>8989697390</v>
      </c>
      <c r="D7559" s="2">
        <v>1</v>
      </c>
      <c r="E7559" t="str">
        <f>"4574674200891596"</f>
        <v>4574674200891596</v>
      </c>
      <c r="F7559" t="str">
        <f>"777"</f>
        <v>777</v>
      </c>
      <c r="G7559">
        <v>1</v>
      </c>
      <c r="H7559">
        <v>2023</v>
      </c>
      <c r="I7559" t="s">
        <v>7674</v>
      </c>
    </row>
    <row r="7560" spans="1:9" x14ac:dyDescent="0.3">
      <c r="A7560" t="s">
        <v>10158</v>
      </c>
      <c r="B7560" t="s">
        <v>65</v>
      </c>
      <c r="C7560">
        <v>8989697390</v>
      </c>
      <c r="D7560" s="2">
        <v>1</v>
      </c>
      <c r="E7560" t="str">
        <f>"4574674200891687"</f>
        <v>4574674200891687</v>
      </c>
      <c r="F7560" t="str">
        <f>"619"</f>
        <v>619</v>
      </c>
      <c r="G7560">
        <v>1</v>
      </c>
      <c r="H7560">
        <v>2023</v>
      </c>
      <c r="I7560" t="s">
        <v>7675</v>
      </c>
    </row>
    <row r="7561" spans="1:9" x14ac:dyDescent="0.3">
      <c r="A7561" t="s">
        <v>10158</v>
      </c>
      <c r="B7561" t="s">
        <v>65</v>
      </c>
      <c r="C7561">
        <v>8989697390</v>
      </c>
      <c r="D7561" s="2">
        <v>1</v>
      </c>
      <c r="E7561" t="str">
        <f>"4574674200891729"</f>
        <v>4574674200891729</v>
      </c>
      <c r="F7561" t="str">
        <f>"918"</f>
        <v>918</v>
      </c>
      <c r="G7561">
        <v>1</v>
      </c>
      <c r="H7561">
        <v>2023</v>
      </c>
      <c r="I7561" t="s">
        <v>7676</v>
      </c>
    </row>
    <row r="7562" spans="1:9" x14ac:dyDescent="0.3">
      <c r="A7562" t="s">
        <v>10158</v>
      </c>
      <c r="B7562" t="s">
        <v>65</v>
      </c>
      <c r="C7562">
        <v>8989697390</v>
      </c>
      <c r="D7562" s="2">
        <v>1</v>
      </c>
      <c r="E7562" t="str">
        <f>"4574674200891745"</f>
        <v>4574674200891745</v>
      </c>
      <c r="F7562" t="str">
        <f>"000"</f>
        <v>000</v>
      </c>
      <c r="G7562">
        <v>1</v>
      </c>
      <c r="H7562">
        <v>2023</v>
      </c>
      <c r="I7562" t="s">
        <v>7677</v>
      </c>
    </row>
    <row r="7563" spans="1:9" x14ac:dyDescent="0.3">
      <c r="A7563" t="s">
        <v>10158</v>
      </c>
      <c r="B7563" t="s">
        <v>65</v>
      </c>
      <c r="C7563">
        <v>8989697390</v>
      </c>
      <c r="D7563" s="2">
        <v>1</v>
      </c>
      <c r="E7563" t="str">
        <f>"4574674200891828"</f>
        <v>4574674200891828</v>
      </c>
      <c r="F7563" t="str">
        <f>"265"</f>
        <v>265</v>
      </c>
      <c r="G7563">
        <v>1</v>
      </c>
      <c r="H7563">
        <v>2023</v>
      </c>
      <c r="I7563" t="s">
        <v>7678</v>
      </c>
    </row>
    <row r="7564" spans="1:9" x14ac:dyDescent="0.3">
      <c r="A7564" t="s">
        <v>10158</v>
      </c>
      <c r="B7564" t="s">
        <v>65</v>
      </c>
      <c r="C7564">
        <v>8989697390</v>
      </c>
      <c r="D7564" s="2">
        <v>1</v>
      </c>
      <c r="E7564" t="str">
        <f>"4574674200892073"</f>
        <v>4574674200892073</v>
      </c>
      <c r="F7564" t="str">
        <f>"428"</f>
        <v>428</v>
      </c>
      <c r="G7564">
        <v>1</v>
      </c>
      <c r="H7564">
        <v>2023</v>
      </c>
      <c r="I7564" t="s">
        <v>7679</v>
      </c>
    </row>
    <row r="7565" spans="1:9" x14ac:dyDescent="0.3">
      <c r="A7565" t="s">
        <v>10158</v>
      </c>
      <c r="B7565" t="s">
        <v>65</v>
      </c>
      <c r="C7565">
        <v>8989697390</v>
      </c>
      <c r="D7565" s="2">
        <v>1</v>
      </c>
      <c r="E7565" t="str">
        <f>"4574674200892115"</f>
        <v>4574674200892115</v>
      </c>
      <c r="F7565" t="str">
        <f>"387"</f>
        <v>387</v>
      </c>
      <c r="G7565">
        <v>1</v>
      </c>
      <c r="H7565">
        <v>2023</v>
      </c>
      <c r="I7565" t="s">
        <v>7680</v>
      </c>
    </row>
    <row r="7566" spans="1:9" x14ac:dyDescent="0.3">
      <c r="A7566" t="s">
        <v>10158</v>
      </c>
      <c r="B7566" t="s">
        <v>65</v>
      </c>
      <c r="C7566">
        <v>8989697390</v>
      </c>
      <c r="D7566" s="2">
        <v>1</v>
      </c>
      <c r="E7566" t="str">
        <f>"4574674200892107"</f>
        <v>4574674200892107</v>
      </c>
      <c r="F7566" t="str">
        <f>"501"</f>
        <v>501</v>
      </c>
      <c r="G7566">
        <v>1</v>
      </c>
      <c r="H7566">
        <v>2023</v>
      </c>
      <c r="I7566" t="s">
        <v>7681</v>
      </c>
    </row>
    <row r="7567" spans="1:9" x14ac:dyDescent="0.3">
      <c r="A7567" t="s">
        <v>10159</v>
      </c>
      <c r="B7567" t="s">
        <v>66</v>
      </c>
      <c r="C7567">
        <v>8989697390</v>
      </c>
      <c r="D7567" s="2">
        <v>1</v>
      </c>
      <c r="E7567" t="str">
        <f>"4574674200891885"</f>
        <v>4574674200891885</v>
      </c>
      <c r="F7567" t="str">
        <f>"958"</f>
        <v>958</v>
      </c>
      <c r="G7567">
        <v>1</v>
      </c>
      <c r="H7567">
        <v>2023</v>
      </c>
      <c r="I7567" t="s">
        <v>7682</v>
      </c>
    </row>
    <row r="7568" spans="1:9" x14ac:dyDescent="0.3">
      <c r="A7568" t="s">
        <v>10159</v>
      </c>
      <c r="B7568" t="s">
        <v>66</v>
      </c>
      <c r="C7568">
        <v>8989697390</v>
      </c>
      <c r="D7568" s="2">
        <v>1</v>
      </c>
      <c r="E7568" t="str">
        <f>"4574674200891893"</f>
        <v>4574674200891893</v>
      </c>
      <c r="F7568" t="str">
        <f>"502"</f>
        <v>502</v>
      </c>
      <c r="G7568">
        <v>1</v>
      </c>
      <c r="H7568">
        <v>2023</v>
      </c>
      <c r="I7568" t="s">
        <v>7683</v>
      </c>
    </row>
    <row r="7569" spans="1:9" x14ac:dyDescent="0.3">
      <c r="A7569" t="s">
        <v>10159</v>
      </c>
      <c r="B7569" t="s">
        <v>66</v>
      </c>
      <c r="C7569">
        <v>8989697390</v>
      </c>
      <c r="D7569" s="2">
        <v>1</v>
      </c>
      <c r="E7569" t="str">
        <f>"4574674200891935"</f>
        <v>4574674200891935</v>
      </c>
      <c r="F7569" t="str">
        <f>"249"</f>
        <v>249</v>
      </c>
      <c r="G7569">
        <v>1</v>
      </c>
      <c r="H7569">
        <v>2023</v>
      </c>
      <c r="I7569" t="s">
        <v>7684</v>
      </c>
    </row>
    <row r="7570" spans="1:9" x14ac:dyDescent="0.3">
      <c r="A7570" t="s">
        <v>10159</v>
      </c>
      <c r="B7570" t="s">
        <v>66</v>
      </c>
      <c r="C7570">
        <v>8989697390</v>
      </c>
      <c r="D7570" s="2">
        <v>1</v>
      </c>
      <c r="E7570" t="str">
        <f>"4574674200892131"</f>
        <v>4574674200892131</v>
      </c>
      <c r="F7570" t="str">
        <f>"594"</f>
        <v>594</v>
      </c>
      <c r="G7570">
        <v>1</v>
      </c>
      <c r="H7570">
        <v>2023</v>
      </c>
      <c r="I7570" t="s">
        <v>7685</v>
      </c>
    </row>
    <row r="7571" spans="1:9" x14ac:dyDescent="0.3">
      <c r="A7571" t="s">
        <v>10159</v>
      </c>
      <c r="B7571" t="s">
        <v>66</v>
      </c>
      <c r="C7571">
        <v>8989697390</v>
      </c>
      <c r="D7571" s="2">
        <v>1</v>
      </c>
      <c r="E7571" t="str">
        <f>"4574674200892156"</f>
        <v>4574674200892156</v>
      </c>
      <c r="F7571" t="str">
        <f>"145"</f>
        <v>145</v>
      </c>
      <c r="G7571">
        <v>1</v>
      </c>
      <c r="H7571">
        <v>2023</v>
      </c>
      <c r="I7571" t="s">
        <v>7686</v>
      </c>
    </row>
    <row r="7572" spans="1:9" x14ac:dyDescent="0.3">
      <c r="A7572" t="s">
        <v>10159</v>
      </c>
      <c r="B7572" t="s">
        <v>66</v>
      </c>
      <c r="C7572">
        <v>8989697390</v>
      </c>
      <c r="D7572" s="2">
        <v>1</v>
      </c>
      <c r="E7572" t="str">
        <f>"4574674200891984"</f>
        <v>4574674200891984</v>
      </c>
      <c r="F7572" t="str">
        <f>"949"</f>
        <v>949</v>
      </c>
      <c r="G7572">
        <v>1</v>
      </c>
      <c r="H7572">
        <v>2023</v>
      </c>
      <c r="I7572" t="s">
        <v>7687</v>
      </c>
    </row>
    <row r="7573" spans="1:9" x14ac:dyDescent="0.3">
      <c r="A7573" t="s">
        <v>10159</v>
      </c>
      <c r="B7573" t="s">
        <v>66</v>
      </c>
      <c r="C7573">
        <v>8989697390</v>
      </c>
      <c r="D7573" s="2">
        <v>1</v>
      </c>
      <c r="E7573" t="str">
        <f>"4574674200892479"</f>
        <v>4574674200892479</v>
      </c>
      <c r="F7573" t="str">
        <f>"456"</f>
        <v>456</v>
      </c>
      <c r="G7573">
        <v>1</v>
      </c>
      <c r="H7573">
        <v>2023</v>
      </c>
      <c r="I7573" t="s">
        <v>7688</v>
      </c>
    </row>
    <row r="7574" spans="1:9" x14ac:dyDescent="0.3">
      <c r="A7574" t="s">
        <v>10159</v>
      </c>
      <c r="B7574" t="s">
        <v>66</v>
      </c>
      <c r="C7574">
        <v>8989697390</v>
      </c>
      <c r="D7574" s="2">
        <v>1</v>
      </c>
      <c r="E7574" t="str">
        <f>"4574674200892487"</f>
        <v>4574674200892487</v>
      </c>
      <c r="F7574" t="str">
        <f>"362"</f>
        <v>362</v>
      </c>
      <c r="G7574">
        <v>1</v>
      </c>
      <c r="H7574">
        <v>2023</v>
      </c>
      <c r="I7574" t="s">
        <v>7689</v>
      </c>
    </row>
    <row r="7575" spans="1:9" x14ac:dyDescent="0.3">
      <c r="A7575" t="s">
        <v>10159</v>
      </c>
      <c r="B7575" t="s">
        <v>66</v>
      </c>
      <c r="C7575">
        <v>8989697390</v>
      </c>
      <c r="D7575" s="2">
        <v>1</v>
      </c>
      <c r="E7575" t="str">
        <f>"4574674200892248"</f>
        <v>4574674200892248</v>
      </c>
      <c r="F7575" t="str">
        <f>"925"</f>
        <v>925</v>
      </c>
      <c r="G7575">
        <v>1</v>
      </c>
      <c r="H7575">
        <v>2023</v>
      </c>
      <c r="I7575" t="s">
        <v>7690</v>
      </c>
    </row>
    <row r="7576" spans="1:9" x14ac:dyDescent="0.3">
      <c r="A7576" t="s">
        <v>10159</v>
      </c>
      <c r="B7576" t="s">
        <v>66</v>
      </c>
      <c r="C7576">
        <v>8989697390</v>
      </c>
      <c r="D7576" s="2">
        <v>1</v>
      </c>
      <c r="E7576" t="str">
        <f>"4574674200892271"</f>
        <v>4574674200892271</v>
      </c>
      <c r="F7576" t="str">
        <f>"054"</f>
        <v>054</v>
      </c>
      <c r="G7576">
        <v>1</v>
      </c>
      <c r="H7576">
        <v>2023</v>
      </c>
      <c r="I7576" t="s">
        <v>7691</v>
      </c>
    </row>
    <row r="7577" spans="1:9" x14ac:dyDescent="0.3">
      <c r="A7577" t="s">
        <v>10130</v>
      </c>
      <c r="B7577" t="s">
        <v>67</v>
      </c>
      <c r="C7577">
        <v>8989697390</v>
      </c>
      <c r="D7577" s="2">
        <v>1</v>
      </c>
      <c r="E7577" t="str">
        <f>"4574674200892297"</f>
        <v>4574674200892297</v>
      </c>
      <c r="F7577" t="str">
        <f>"184"</f>
        <v>184</v>
      </c>
      <c r="G7577">
        <v>1</v>
      </c>
      <c r="H7577">
        <v>2023</v>
      </c>
      <c r="I7577" t="s">
        <v>7692</v>
      </c>
    </row>
    <row r="7578" spans="1:9" x14ac:dyDescent="0.3">
      <c r="A7578" t="s">
        <v>10130</v>
      </c>
      <c r="B7578" t="s">
        <v>67</v>
      </c>
      <c r="C7578">
        <v>8989697390</v>
      </c>
      <c r="D7578" s="2">
        <v>1</v>
      </c>
      <c r="E7578" t="str">
        <f>"4574674200892537"</f>
        <v>4574674200892537</v>
      </c>
      <c r="F7578" t="str">
        <f>"753"</f>
        <v>753</v>
      </c>
      <c r="G7578">
        <v>1</v>
      </c>
      <c r="H7578">
        <v>2023</v>
      </c>
      <c r="I7578" t="s">
        <v>7693</v>
      </c>
    </row>
    <row r="7579" spans="1:9" x14ac:dyDescent="0.3">
      <c r="A7579" t="s">
        <v>10130</v>
      </c>
      <c r="B7579" t="s">
        <v>67</v>
      </c>
      <c r="C7579">
        <v>8989697390</v>
      </c>
      <c r="D7579" s="2">
        <v>1</v>
      </c>
      <c r="E7579" t="str">
        <f>"4574674200892552"</f>
        <v>4574674200892552</v>
      </c>
      <c r="F7579" t="str">
        <f>"485"</f>
        <v>485</v>
      </c>
      <c r="G7579">
        <v>1</v>
      </c>
      <c r="H7579">
        <v>2023</v>
      </c>
      <c r="I7579" t="s">
        <v>7694</v>
      </c>
    </row>
    <row r="7580" spans="1:9" x14ac:dyDescent="0.3">
      <c r="A7580" t="s">
        <v>10130</v>
      </c>
      <c r="B7580" t="s">
        <v>67</v>
      </c>
      <c r="C7580">
        <v>8989697390</v>
      </c>
      <c r="D7580" s="2">
        <v>1</v>
      </c>
      <c r="E7580" t="str">
        <f>"4574674200892560"</f>
        <v>4574674200892560</v>
      </c>
      <c r="F7580" t="str">
        <f>"437"</f>
        <v>437</v>
      </c>
      <c r="G7580">
        <v>1</v>
      </c>
      <c r="H7580">
        <v>2023</v>
      </c>
      <c r="I7580" t="s">
        <v>7695</v>
      </c>
    </row>
    <row r="7581" spans="1:9" x14ac:dyDescent="0.3">
      <c r="A7581" t="s">
        <v>10130</v>
      </c>
      <c r="B7581" t="s">
        <v>67</v>
      </c>
      <c r="C7581">
        <v>8989697390</v>
      </c>
      <c r="D7581" s="2">
        <v>1</v>
      </c>
      <c r="E7581" t="str">
        <f>"4574674200892362"</f>
        <v>4574674200892362</v>
      </c>
      <c r="F7581" t="str">
        <f>"830"</f>
        <v>830</v>
      </c>
      <c r="G7581">
        <v>1</v>
      </c>
      <c r="H7581">
        <v>2023</v>
      </c>
      <c r="I7581" t="s">
        <v>7696</v>
      </c>
    </row>
    <row r="7582" spans="1:9" x14ac:dyDescent="0.3">
      <c r="A7582" t="s">
        <v>10130</v>
      </c>
      <c r="B7582" t="s">
        <v>67</v>
      </c>
      <c r="C7582">
        <v>8989697390</v>
      </c>
      <c r="D7582" s="2">
        <v>1</v>
      </c>
      <c r="E7582" t="str">
        <f>"4574674200892370"</f>
        <v>4574674200892370</v>
      </c>
      <c r="F7582" t="str">
        <f>"446"</f>
        <v>446</v>
      </c>
      <c r="G7582">
        <v>1</v>
      </c>
      <c r="H7582">
        <v>2023</v>
      </c>
      <c r="I7582" t="s">
        <v>7697</v>
      </c>
    </row>
    <row r="7583" spans="1:9" x14ac:dyDescent="0.3">
      <c r="A7583" t="s">
        <v>10130</v>
      </c>
      <c r="B7583" t="s">
        <v>67</v>
      </c>
      <c r="C7583">
        <v>8989697390</v>
      </c>
      <c r="D7583" s="2">
        <v>1</v>
      </c>
      <c r="E7583" t="str">
        <f>"4574674200892818"</f>
        <v>4574674200892818</v>
      </c>
      <c r="F7583" t="str">
        <f>"840"</f>
        <v>840</v>
      </c>
      <c r="G7583">
        <v>1</v>
      </c>
      <c r="H7583">
        <v>2023</v>
      </c>
      <c r="I7583" t="s">
        <v>7698</v>
      </c>
    </row>
    <row r="7584" spans="1:9" x14ac:dyDescent="0.3">
      <c r="A7584" t="s">
        <v>10130</v>
      </c>
      <c r="B7584" t="s">
        <v>67</v>
      </c>
      <c r="C7584">
        <v>8989697390</v>
      </c>
      <c r="D7584" s="2">
        <v>1</v>
      </c>
      <c r="E7584" t="str">
        <f>"4574674200892644"</f>
        <v>4574674200892644</v>
      </c>
      <c r="F7584" t="str">
        <f>"782"</f>
        <v>782</v>
      </c>
      <c r="G7584">
        <v>1</v>
      </c>
      <c r="H7584">
        <v>2023</v>
      </c>
      <c r="I7584" t="s">
        <v>7699</v>
      </c>
    </row>
    <row r="7585" spans="1:9" x14ac:dyDescent="0.3">
      <c r="A7585" t="s">
        <v>10130</v>
      </c>
      <c r="B7585" t="s">
        <v>67</v>
      </c>
      <c r="C7585">
        <v>8989697390</v>
      </c>
      <c r="D7585" s="2">
        <v>1</v>
      </c>
      <c r="E7585" t="str">
        <f>"4574674200892669"</f>
        <v>4574674200892669</v>
      </c>
      <c r="F7585" t="str">
        <f>"111"</f>
        <v>111</v>
      </c>
      <c r="G7585">
        <v>1</v>
      </c>
      <c r="H7585">
        <v>2023</v>
      </c>
      <c r="I7585" t="s">
        <v>7700</v>
      </c>
    </row>
    <row r="7586" spans="1:9" x14ac:dyDescent="0.3">
      <c r="A7586" t="s">
        <v>10130</v>
      </c>
      <c r="B7586" t="s">
        <v>67</v>
      </c>
      <c r="C7586">
        <v>8989697390</v>
      </c>
      <c r="D7586" s="2">
        <v>1</v>
      </c>
      <c r="E7586" t="str">
        <f>"4574674200892677"</f>
        <v>4574674200892677</v>
      </c>
      <c r="F7586" t="str">
        <f>"999"</f>
        <v>999</v>
      </c>
      <c r="G7586">
        <v>1</v>
      </c>
      <c r="H7586">
        <v>2023</v>
      </c>
      <c r="I7586" t="s">
        <v>7701</v>
      </c>
    </row>
    <row r="7587" spans="1:9" x14ac:dyDescent="0.3">
      <c r="A7587" t="s">
        <v>10132</v>
      </c>
      <c r="B7587" t="s">
        <v>68</v>
      </c>
      <c r="C7587">
        <v>8989697390</v>
      </c>
      <c r="D7587" s="2">
        <v>1</v>
      </c>
      <c r="E7587" t="str">
        <f>"4574674200892875"</f>
        <v>4574674200892875</v>
      </c>
      <c r="F7587" t="str">
        <f>"667"</f>
        <v>667</v>
      </c>
      <c r="G7587">
        <v>1</v>
      </c>
      <c r="H7587">
        <v>2023</v>
      </c>
      <c r="I7587" t="s">
        <v>7702</v>
      </c>
    </row>
    <row r="7588" spans="1:9" x14ac:dyDescent="0.3">
      <c r="A7588" t="s">
        <v>10132</v>
      </c>
      <c r="B7588" t="s">
        <v>68</v>
      </c>
      <c r="C7588">
        <v>8989697390</v>
      </c>
      <c r="D7588" s="2">
        <v>1</v>
      </c>
      <c r="E7588" t="str">
        <f>"4574674200892719"</f>
        <v>4574674200892719</v>
      </c>
      <c r="F7588" t="str">
        <f>"144"</f>
        <v>144</v>
      </c>
      <c r="G7588">
        <v>1</v>
      </c>
      <c r="H7588">
        <v>2023</v>
      </c>
      <c r="I7588" t="s">
        <v>7703</v>
      </c>
    </row>
    <row r="7589" spans="1:9" x14ac:dyDescent="0.3">
      <c r="A7589" t="s">
        <v>10132</v>
      </c>
      <c r="B7589" t="s">
        <v>68</v>
      </c>
      <c r="C7589">
        <v>8989697390</v>
      </c>
      <c r="D7589" s="2">
        <v>1</v>
      </c>
      <c r="E7589" t="str">
        <f>"4574674200892925"</f>
        <v>4574674200892925</v>
      </c>
      <c r="F7589" t="str">
        <f>"989"</f>
        <v>989</v>
      </c>
      <c r="G7589">
        <v>1</v>
      </c>
      <c r="H7589">
        <v>2023</v>
      </c>
      <c r="I7589" t="s">
        <v>7704</v>
      </c>
    </row>
    <row r="7590" spans="1:9" x14ac:dyDescent="0.3">
      <c r="A7590" t="s">
        <v>10132</v>
      </c>
      <c r="B7590" t="s">
        <v>68</v>
      </c>
      <c r="C7590">
        <v>8989697390</v>
      </c>
      <c r="D7590" s="2">
        <v>1</v>
      </c>
      <c r="E7590" t="str">
        <f>"4574674200892776"</f>
        <v>4574674200892776</v>
      </c>
      <c r="F7590" t="str">
        <f>"685"</f>
        <v>685</v>
      </c>
      <c r="G7590">
        <v>1</v>
      </c>
      <c r="H7590">
        <v>2023</v>
      </c>
      <c r="I7590" t="s">
        <v>7705</v>
      </c>
    </row>
    <row r="7591" spans="1:9" x14ac:dyDescent="0.3">
      <c r="A7591" t="s">
        <v>10132</v>
      </c>
      <c r="B7591" t="s">
        <v>68</v>
      </c>
      <c r="C7591">
        <v>8989697390</v>
      </c>
      <c r="D7591" s="2">
        <v>1</v>
      </c>
      <c r="E7591" t="str">
        <f>"4574674200892784"</f>
        <v>4574674200892784</v>
      </c>
      <c r="F7591" t="str">
        <f>"377"</f>
        <v>377</v>
      </c>
      <c r="G7591">
        <v>1</v>
      </c>
      <c r="H7591">
        <v>2023</v>
      </c>
      <c r="I7591" t="s">
        <v>7706</v>
      </c>
    </row>
    <row r="7592" spans="1:9" x14ac:dyDescent="0.3">
      <c r="A7592" t="s">
        <v>10132</v>
      </c>
      <c r="B7592" t="s">
        <v>68</v>
      </c>
      <c r="C7592">
        <v>8989697390</v>
      </c>
      <c r="D7592" s="2">
        <v>1</v>
      </c>
      <c r="E7592" t="str">
        <f>"4574674200893006"</f>
        <v>4574674200893006</v>
      </c>
      <c r="F7592" t="str">
        <f>"627"</f>
        <v>627</v>
      </c>
      <c r="G7592">
        <v>1</v>
      </c>
      <c r="H7592">
        <v>2023</v>
      </c>
      <c r="I7592" t="s">
        <v>7707</v>
      </c>
    </row>
    <row r="7593" spans="1:9" x14ac:dyDescent="0.3">
      <c r="A7593" t="s">
        <v>10132</v>
      </c>
      <c r="B7593" t="s">
        <v>68</v>
      </c>
      <c r="C7593">
        <v>8989697390</v>
      </c>
      <c r="D7593" s="2">
        <v>1</v>
      </c>
      <c r="E7593" t="str">
        <f>"4574674200892974"</f>
        <v>4574674200892974</v>
      </c>
      <c r="F7593" t="str">
        <f>"112"</f>
        <v>112</v>
      </c>
      <c r="G7593">
        <v>1</v>
      </c>
      <c r="H7593">
        <v>2023</v>
      </c>
      <c r="I7593" t="s">
        <v>7708</v>
      </c>
    </row>
    <row r="7594" spans="1:9" x14ac:dyDescent="0.3">
      <c r="A7594" t="s">
        <v>10132</v>
      </c>
      <c r="B7594" t="s">
        <v>68</v>
      </c>
      <c r="C7594">
        <v>8989697390</v>
      </c>
      <c r="D7594" s="2">
        <v>1</v>
      </c>
      <c r="E7594" t="str">
        <f>"4574674200893212"</f>
        <v>4574674200893212</v>
      </c>
      <c r="F7594" t="str">
        <f>"521"</f>
        <v>521</v>
      </c>
      <c r="G7594">
        <v>1</v>
      </c>
      <c r="H7594">
        <v>2023</v>
      </c>
      <c r="I7594" t="s">
        <v>7709</v>
      </c>
    </row>
    <row r="7595" spans="1:9" x14ac:dyDescent="0.3">
      <c r="A7595" t="s">
        <v>10132</v>
      </c>
      <c r="B7595" t="s">
        <v>68</v>
      </c>
      <c r="C7595">
        <v>8989697390</v>
      </c>
      <c r="D7595" s="2">
        <v>1</v>
      </c>
      <c r="E7595" t="str">
        <f>"4574674200893105"</f>
        <v>4574674200893105</v>
      </c>
      <c r="F7595" t="str">
        <f>"710"</f>
        <v>710</v>
      </c>
      <c r="G7595">
        <v>1</v>
      </c>
      <c r="H7595">
        <v>2023</v>
      </c>
      <c r="I7595" t="s">
        <v>7710</v>
      </c>
    </row>
    <row r="7596" spans="1:9" x14ac:dyDescent="0.3">
      <c r="A7596" t="s">
        <v>10132</v>
      </c>
      <c r="B7596" t="s">
        <v>68</v>
      </c>
      <c r="C7596">
        <v>8989697390</v>
      </c>
      <c r="D7596" s="2">
        <v>1</v>
      </c>
      <c r="E7596" t="str">
        <f>"4574674200893113"</f>
        <v>4574674200893113</v>
      </c>
      <c r="F7596" t="str">
        <f>"246"</f>
        <v>246</v>
      </c>
      <c r="G7596">
        <v>1</v>
      </c>
      <c r="H7596">
        <v>2023</v>
      </c>
      <c r="I7596" t="s">
        <v>7711</v>
      </c>
    </row>
    <row r="7597" spans="1:9" x14ac:dyDescent="0.3">
      <c r="A7597" t="s">
        <v>10168</v>
      </c>
      <c r="B7597" t="s">
        <v>69</v>
      </c>
      <c r="C7597">
        <v>8989697390</v>
      </c>
      <c r="D7597" s="2">
        <v>1</v>
      </c>
      <c r="E7597" t="str">
        <f>"4574674200893162"</f>
        <v>4574674200893162</v>
      </c>
      <c r="F7597" t="str">
        <f>"353"</f>
        <v>353</v>
      </c>
      <c r="G7597">
        <v>1</v>
      </c>
      <c r="H7597">
        <v>2023</v>
      </c>
      <c r="I7597" t="s">
        <v>7712</v>
      </c>
    </row>
    <row r="7598" spans="1:9" x14ac:dyDescent="0.3">
      <c r="A7598" t="s">
        <v>10168</v>
      </c>
      <c r="B7598" t="s">
        <v>69</v>
      </c>
      <c r="C7598">
        <v>8989697390</v>
      </c>
      <c r="D7598" s="2">
        <v>1</v>
      </c>
      <c r="E7598" t="str">
        <f>"4574674200893154"</f>
        <v>4574674200893154</v>
      </c>
      <c r="F7598" t="str">
        <f>"396"</f>
        <v>396</v>
      </c>
      <c r="G7598">
        <v>1</v>
      </c>
      <c r="H7598">
        <v>2023</v>
      </c>
      <c r="I7598" t="s">
        <v>7713</v>
      </c>
    </row>
    <row r="7599" spans="1:9" x14ac:dyDescent="0.3">
      <c r="A7599" t="s">
        <v>10168</v>
      </c>
      <c r="B7599" t="s">
        <v>69</v>
      </c>
      <c r="C7599">
        <v>8989697390</v>
      </c>
      <c r="D7599" s="2">
        <v>1</v>
      </c>
      <c r="E7599" t="str">
        <f>"4574674200893279"</f>
        <v>4574674200893279</v>
      </c>
      <c r="F7599" t="str">
        <f>"133"</f>
        <v>133</v>
      </c>
      <c r="G7599">
        <v>1</v>
      </c>
      <c r="H7599">
        <v>2023</v>
      </c>
      <c r="I7599" t="s">
        <v>7714</v>
      </c>
    </row>
    <row r="7600" spans="1:9" x14ac:dyDescent="0.3">
      <c r="A7600" t="s">
        <v>10168</v>
      </c>
      <c r="B7600" t="s">
        <v>69</v>
      </c>
      <c r="C7600">
        <v>8989697390</v>
      </c>
      <c r="D7600" s="2">
        <v>1</v>
      </c>
      <c r="E7600" t="str">
        <f>"4574674200893329"</f>
        <v>4574674200893329</v>
      </c>
      <c r="F7600" t="str">
        <f>"000"</f>
        <v>000</v>
      </c>
      <c r="G7600">
        <v>1</v>
      </c>
      <c r="H7600">
        <v>2023</v>
      </c>
      <c r="I7600" t="s">
        <v>7715</v>
      </c>
    </row>
    <row r="7601" spans="1:9" x14ac:dyDescent="0.3">
      <c r="A7601" t="s">
        <v>10168</v>
      </c>
      <c r="B7601" t="s">
        <v>69</v>
      </c>
      <c r="C7601">
        <v>8989697390</v>
      </c>
      <c r="D7601" s="2">
        <v>1</v>
      </c>
      <c r="E7601" t="str">
        <f>"4574674200893311"</f>
        <v>4574674200893311</v>
      </c>
      <c r="F7601" t="str">
        <f>"540"</f>
        <v>540</v>
      </c>
      <c r="G7601">
        <v>1</v>
      </c>
      <c r="H7601">
        <v>2023</v>
      </c>
      <c r="I7601" t="s">
        <v>7716</v>
      </c>
    </row>
    <row r="7602" spans="1:9" x14ac:dyDescent="0.3">
      <c r="A7602" t="s">
        <v>10168</v>
      </c>
      <c r="B7602" t="s">
        <v>69</v>
      </c>
      <c r="C7602">
        <v>8989697390</v>
      </c>
      <c r="D7602" s="2">
        <v>1</v>
      </c>
      <c r="E7602" t="str">
        <f>"4574674200893469"</f>
        <v>4574674200893469</v>
      </c>
      <c r="F7602" t="str">
        <f>"041"</f>
        <v>041</v>
      </c>
      <c r="G7602">
        <v>1</v>
      </c>
      <c r="H7602">
        <v>2023</v>
      </c>
      <c r="I7602" t="s">
        <v>7717</v>
      </c>
    </row>
    <row r="7603" spans="1:9" x14ac:dyDescent="0.3">
      <c r="A7603" t="s">
        <v>10168</v>
      </c>
      <c r="B7603" t="s">
        <v>69</v>
      </c>
      <c r="C7603">
        <v>8989697390</v>
      </c>
      <c r="D7603" s="2">
        <v>1</v>
      </c>
      <c r="E7603" t="str">
        <f>"4574674200893527"</f>
        <v>4574674200893527</v>
      </c>
      <c r="F7603" t="str">
        <f>"924"</f>
        <v>924</v>
      </c>
      <c r="G7603">
        <v>1</v>
      </c>
      <c r="H7603">
        <v>2023</v>
      </c>
      <c r="I7603" t="s">
        <v>7718</v>
      </c>
    </row>
    <row r="7604" spans="1:9" x14ac:dyDescent="0.3">
      <c r="A7604" t="s">
        <v>10168</v>
      </c>
      <c r="B7604" t="s">
        <v>69</v>
      </c>
      <c r="C7604">
        <v>8989697390</v>
      </c>
      <c r="D7604" s="2">
        <v>1</v>
      </c>
      <c r="E7604" t="str">
        <f>"4574674200893519"</f>
        <v>4574674200893519</v>
      </c>
      <c r="F7604" t="str">
        <f>"187"</f>
        <v>187</v>
      </c>
      <c r="G7604">
        <v>1</v>
      </c>
      <c r="H7604">
        <v>2023</v>
      </c>
      <c r="I7604" t="s">
        <v>7719</v>
      </c>
    </row>
    <row r="7605" spans="1:9" x14ac:dyDescent="0.3">
      <c r="A7605" t="s">
        <v>10168</v>
      </c>
      <c r="B7605" t="s">
        <v>69</v>
      </c>
      <c r="C7605">
        <v>8989697390</v>
      </c>
      <c r="D7605" s="2">
        <v>1</v>
      </c>
      <c r="E7605" t="str">
        <f>"4574674200893816"</f>
        <v>4574674200893816</v>
      </c>
      <c r="F7605" t="str">
        <f>"571"</f>
        <v>571</v>
      </c>
      <c r="G7605">
        <v>1</v>
      </c>
      <c r="H7605">
        <v>2023</v>
      </c>
      <c r="I7605" t="s">
        <v>7720</v>
      </c>
    </row>
    <row r="7606" spans="1:9" x14ac:dyDescent="0.3">
      <c r="A7606" t="s">
        <v>10168</v>
      </c>
      <c r="B7606" t="s">
        <v>69</v>
      </c>
      <c r="C7606">
        <v>8989697390</v>
      </c>
      <c r="D7606" s="2">
        <v>1</v>
      </c>
      <c r="E7606" t="str">
        <f>"4574674200893857"</f>
        <v>4574674200893857</v>
      </c>
      <c r="F7606" t="str">
        <f>"479"</f>
        <v>479</v>
      </c>
      <c r="G7606">
        <v>1</v>
      </c>
      <c r="H7606">
        <v>2023</v>
      </c>
      <c r="I7606" t="s">
        <v>7721</v>
      </c>
    </row>
    <row r="7607" spans="1:9" x14ac:dyDescent="0.3">
      <c r="A7607" t="s">
        <v>10169</v>
      </c>
      <c r="B7607" t="s">
        <v>70</v>
      </c>
      <c r="C7607">
        <v>8989697390</v>
      </c>
      <c r="D7607" s="2">
        <v>1</v>
      </c>
      <c r="E7607" t="str">
        <f>"4574674200893659"</f>
        <v>4574674200893659</v>
      </c>
      <c r="F7607" t="str">
        <f>"812"</f>
        <v>812</v>
      </c>
      <c r="G7607">
        <v>1</v>
      </c>
      <c r="H7607">
        <v>2023</v>
      </c>
      <c r="I7607" t="s">
        <v>7722</v>
      </c>
    </row>
    <row r="7608" spans="1:9" x14ac:dyDescent="0.3">
      <c r="A7608" t="s">
        <v>10169</v>
      </c>
      <c r="B7608" t="s">
        <v>70</v>
      </c>
      <c r="C7608">
        <v>8989697390</v>
      </c>
      <c r="D7608" s="2">
        <v>1</v>
      </c>
      <c r="E7608" t="str">
        <f>"4574674200893642"</f>
        <v>4574674200893642</v>
      </c>
      <c r="F7608" t="str">
        <f>"820"</f>
        <v>820</v>
      </c>
      <c r="G7608">
        <v>1</v>
      </c>
      <c r="H7608">
        <v>2023</v>
      </c>
      <c r="I7608" t="s">
        <v>7723</v>
      </c>
    </row>
    <row r="7609" spans="1:9" x14ac:dyDescent="0.3">
      <c r="A7609" t="s">
        <v>10169</v>
      </c>
      <c r="B7609" t="s">
        <v>70</v>
      </c>
      <c r="C7609">
        <v>8989697390</v>
      </c>
      <c r="D7609" s="2">
        <v>1</v>
      </c>
      <c r="E7609" t="str">
        <f>"4574674200893675"</f>
        <v>4574674200893675</v>
      </c>
      <c r="F7609" t="str">
        <f>"857"</f>
        <v>857</v>
      </c>
      <c r="G7609">
        <v>1</v>
      </c>
      <c r="H7609">
        <v>2023</v>
      </c>
      <c r="I7609" t="s">
        <v>7724</v>
      </c>
    </row>
    <row r="7610" spans="1:9" x14ac:dyDescent="0.3">
      <c r="A7610" t="s">
        <v>10169</v>
      </c>
      <c r="B7610" t="s">
        <v>70</v>
      </c>
      <c r="C7610">
        <v>8989697390</v>
      </c>
      <c r="D7610" s="2">
        <v>1</v>
      </c>
      <c r="E7610" t="str">
        <f>"4574674200893741"</f>
        <v>4574674200893741</v>
      </c>
      <c r="F7610" t="str">
        <f>"533"</f>
        <v>533</v>
      </c>
      <c r="G7610">
        <v>1</v>
      </c>
      <c r="H7610">
        <v>2023</v>
      </c>
      <c r="I7610" t="s">
        <v>7725</v>
      </c>
    </row>
    <row r="7611" spans="1:9" x14ac:dyDescent="0.3">
      <c r="A7611" t="s">
        <v>10169</v>
      </c>
      <c r="B7611" t="s">
        <v>70</v>
      </c>
      <c r="C7611">
        <v>8989697390</v>
      </c>
      <c r="D7611" s="2">
        <v>1</v>
      </c>
      <c r="E7611" t="str">
        <f>"4574674200893915"</f>
        <v>4574674200893915</v>
      </c>
      <c r="F7611" t="str">
        <f>"161"</f>
        <v>161</v>
      </c>
      <c r="G7611">
        <v>1</v>
      </c>
      <c r="H7611">
        <v>2023</v>
      </c>
      <c r="I7611" t="s">
        <v>7726</v>
      </c>
    </row>
    <row r="7612" spans="1:9" x14ac:dyDescent="0.3">
      <c r="A7612" t="s">
        <v>10169</v>
      </c>
      <c r="B7612" t="s">
        <v>70</v>
      </c>
      <c r="C7612">
        <v>8989697390</v>
      </c>
      <c r="D7612" s="2">
        <v>1</v>
      </c>
      <c r="E7612" t="str">
        <f>"4574674200893931"</f>
        <v>4574674200893931</v>
      </c>
      <c r="F7612" t="str">
        <f>"941"</f>
        <v>941</v>
      </c>
      <c r="G7612">
        <v>1</v>
      </c>
      <c r="H7612">
        <v>2023</v>
      </c>
      <c r="I7612" t="s">
        <v>7727</v>
      </c>
    </row>
    <row r="7613" spans="1:9" x14ac:dyDescent="0.3">
      <c r="A7613" t="s">
        <v>10169</v>
      </c>
      <c r="B7613" t="s">
        <v>70</v>
      </c>
      <c r="C7613">
        <v>8989697390</v>
      </c>
      <c r="D7613" s="2">
        <v>1</v>
      </c>
      <c r="E7613" t="str">
        <f>"4574674200893949"</f>
        <v>4574674200893949</v>
      </c>
      <c r="F7613" t="str">
        <f>"075"</f>
        <v>075</v>
      </c>
      <c r="G7613">
        <v>1</v>
      </c>
      <c r="H7613">
        <v>2023</v>
      </c>
      <c r="I7613" t="s">
        <v>7728</v>
      </c>
    </row>
    <row r="7614" spans="1:9" x14ac:dyDescent="0.3">
      <c r="A7614" t="s">
        <v>10169</v>
      </c>
      <c r="B7614" t="s">
        <v>70</v>
      </c>
      <c r="C7614">
        <v>8989697390</v>
      </c>
      <c r="D7614" s="2">
        <v>1</v>
      </c>
      <c r="E7614" t="str">
        <f>"4574674200894236"</f>
        <v>4574674200894236</v>
      </c>
      <c r="F7614" t="str">
        <f>"208"</f>
        <v>208</v>
      </c>
      <c r="G7614">
        <v>1</v>
      </c>
      <c r="H7614">
        <v>2023</v>
      </c>
      <c r="I7614" t="s">
        <v>7729</v>
      </c>
    </row>
    <row r="7615" spans="1:9" x14ac:dyDescent="0.3">
      <c r="A7615" t="s">
        <v>10169</v>
      </c>
      <c r="B7615" t="s">
        <v>70</v>
      </c>
      <c r="C7615">
        <v>8989697390</v>
      </c>
      <c r="D7615" s="2">
        <v>1</v>
      </c>
      <c r="E7615" t="str">
        <f>"4574674200893782"</f>
        <v>4574674200893782</v>
      </c>
      <c r="F7615" t="str">
        <f>"617"</f>
        <v>617</v>
      </c>
      <c r="G7615">
        <v>1</v>
      </c>
      <c r="H7615">
        <v>2023</v>
      </c>
      <c r="I7615" t="s">
        <v>7730</v>
      </c>
    </row>
    <row r="7616" spans="1:9" x14ac:dyDescent="0.3">
      <c r="A7616" t="s">
        <v>10169</v>
      </c>
      <c r="B7616" t="s">
        <v>70</v>
      </c>
      <c r="C7616">
        <v>8989697390</v>
      </c>
      <c r="D7616" s="2">
        <v>1</v>
      </c>
      <c r="E7616" t="str">
        <f>"4574674200894277"</f>
        <v>4574674200894277</v>
      </c>
      <c r="F7616" t="str">
        <f>"538"</f>
        <v>538</v>
      </c>
      <c r="G7616">
        <v>1</v>
      </c>
      <c r="H7616">
        <v>2023</v>
      </c>
      <c r="I7616" t="s">
        <v>7731</v>
      </c>
    </row>
    <row r="7617" spans="1:9" x14ac:dyDescent="0.3">
      <c r="A7617" t="s">
        <v>10128</v>
      </c>
      <c r="B7617" t="s">
        <v>71</v>
      </c>
      <c r="C7617">
        <v>8989697390</v>
      </c>
      <c r="D7617" s="2">
        <v>1</v>
      </c>
      <c r="E7617" t="str">
        <f>"4574674200894269"</f>
        <v>4574674200894269</v>
      </c>
      <c r="F7617" t="str">
        <f>"942"</f>
        <v>942</v>
      </c>
      <c r="G7617">
        <v>1</v>
      </c>
      <c r="H7617">
        <v>2023</v>
      </c>
      <c r="I7617" t="s">
        <v>7732</v>
      </c>
    </row>
    <row r="7618" spans="1:9" x14ac:dyDescent="0.3">
      <c r="A7618" t="s">
        <v>10128</v>
      </c>
      <c r="B7618" t="s">
        <v>71</v>
      </c>
      <c r="C7618">
        <v>8989697390</v>
      </c>
      <c r="D7618" s="2">
        <v>1</v>
      </c>
      <c r="E7618" t="str">
        <f>"4574674200894053"</f>
        <v>4574674200894053</v>
      </c>
      <c r="F7618" t="str">
        <f>"666"</f>
        <v>666</v>
      </c>
      <c r="G7618">
        <v>1</v>
      </c>
      <c r="H7618">
        <v>2023</v>
      </c>
      <c r="I7618" t="s">
        <v>7733</v>
      </c>
    </row>
    <row r="7619" spans="1:9" x14ac:dyDescent="0.3">
      <c r="A7619" t="s">
        <v>10128</v>
      </c>
      <c r="B7619" t="s">
        <v>71</v>
      </c>
      <c r="C7619">
        <v>8989697390</v>
      </c>
      <c r="D7619" s="2">
        <v>1</v>
      </c>
      <c r="E7619" t="str">
        <f>"4574674200894061"</f>
        <v>4574674200894061</v>
      </c>
      <c r="F7619" t="str">
        <f>"288"</f>
        <v>288</v>
      </c>
      <c r="G7619">
        <v>1</v>
      </c>
      <c r="H7619">
        <v>2023</v>
      </c>
      <c r="I7619" t="s">
        <v>7734</v>
      </c>
    </row>
    <row r="7620" spans="1:9" x14ac:dyDescent="0.3">
      <c r="A7620" t="s">
        <v>10128</v>
      </c>
      <c r="B7620" t="s">
        <v>71</v>
      </c>
      <c r="C7620">
        <v>8989697390</v>
      </c>
      <c r="D7620" s="2">
        <v>1</v>
      </c>
      <c r="E7620" t="str">
        <f>"4574674200894087"</f>
        <v>4574674200894087</v>
      </c>
      <c r="F7620" t="str">
        <f>"250"</f>
        <v>250</v>
      </c>
      <c r="G7620">
        <v>1</v>
      </c>
      <c r="H7620">
        <v>2023</v>
      </c>
      <c r="I7620" t="s">
        <v>7735</v>
      </c>
    </row>
    <row r="7621" spans="1:9" x14ac:dyDescent="0.3">
      <c r="A7621" t="s">
        <v>10128</v>
      </c>
      <c r="B7621" t="s">
        <v>71</v>
      </c>
      <c r="C7621">
        <v>8989697390</v>
      </c>
      <c r="D7621" s="2">
        <v>1</v>
      </c>
      <c r="E7621" t="str">
        <f>"4574674200894384"</f>
        <v>4574674200894384</v>
      </c>
      <c r="F7621" t="str">
        <f>"113"</f>
        <v>113</v>
      </c>
      <c r="G7621">
        <v>1</v>
      </c>
      <c r="H7621">
        <v>2023</v>
      </c>
      <c r="I7621" t="s">
        <v>7736</v>
      </c>
    </row>
    <row r="7622" spans="1:9" x14ac:dyDescent="0.3">
      <c r="A7622" t="s">
        <v>10128</v>
      </c>
      <c r="B7622" t="s">
        <v>71</v>
      </c>
      <c r="C7622">
        <v>8989697390</v>
      </c>
      <c r="D7622" s="2">
        <v>1</v>
      </c>
      <c r="E7622" t="str">
        <f>"4574674200894343"</f>
        <v>4574674200894343</v>
      </c>
      <c r="F7622" t="str">
        <f>"949"</f>
        <v>949</v>
      </c>
      <c r="G7622">
        <v>1</v>
      </c>
      <c r="H7622">
        <v>2023</v>
      </c>
      <c r="I7622" t="s">
        <v>7737</v>
      </c>
    </row>
    <row r="7623" spans="1:9" x14ac:dyDescent="0.3">
      <c r="A7623" t="s">
        <v>10128</v>
      </c>
      <c r="B7623" t="s">
        <v>71</v>
      </c>
      <c r="C7623">
        <v>8989697390</v>
      </c>
      <c r="D7623" s="2">
        <v>1</v>
      </c>
      <c r="E7623" t="str">
        <f>"4574674200894418"</f>
        <v>4574674200894418</v>
      </c>
      <c r="F7623" t="str">
        <f>"319"</f>
        <v>319</v>
      </c>
      <c r="G7623">
        <v>1</v>
      </c>
      <c r="H7623">
        <v>2023</v>
      </c>
      <c r="I7623" t="s">
        <v>7738</v>
      </c>
    </row>
    <row r="7624" spans="1:9" x14ac:dyDescent="0.3">
      <c r="A7624" t="s">
        <v>10128</v>
      </c>
      <c r="B7624" t="s">
        <v>71</v>
      </c>
      <c r="C7624">
        <v>8989697390</v>
      </c>
      <c r="D7624" s="2">
        <v>1</v>
      </c>
      <c r="E7624" t="str">
        <f>"4574674200894434"</f>
        <v>4574674200894434</v>
      </c>
      <c r="F7624" t="str">
        <f>"079"</f>
        <v>079</v>
      </c>
      <c r="G7624">
        <v>1</v>
      </c>
      <c r="H7624">
        <v>2023</v>
      </c>
      <c r="I7624" t="s">
        <v>7739</v>
      </c>
    </row>
    <row r="7625" spans="1:9" x14ac:dyDescent="0.3">
      <c r="A7625" t="s">
        <v>10128</v>
      </c>
      <c r="B7625" t="s">
        <v>71</v>
      </c>
      <c r="C7625">
        <v>8989697390</v>
      </c>
      <c r="D7625" s="2">
        <v>1</v>
      </c>
      <c r="E7625" t="str">
        <f>"4574674200894186"</f>
        <v>4574674200894186</v>
      </c>
      <c r="F7625" t="str">
        <f>"259"</f>
        <v>259</v>
      </c>
      <c r="G7625">
        <v>1</v>
      </c>
      <c r="H7625">
        <v>2023</v>
      </c>
      <c r="I7625" t="s">
        <v>7740</v>
      </c>
    </row>
    <row r="7626" spans="1:9" x14ac:dyDescent="0.3">
      <c r="A7626" t="s">
        <v>10128</v>
      </c>
      <c r="B7626" t="s">
        <v>71</v>
      </c>
      <c r="C7626">
        <v>8989697390</v>
      </c>
      <c r="D7626" s="2">
        <v>1</v>
      </c>
      <c r="E7626" t="str">
        <f>"4574674200894509"</f>
        <v>4574674200894509</v>
      </c>
      <c r="F7626" t="str">
        <f>"716"</f>
        <v>716</v>
      </c>
      <c r="G7626">
        <v>1</v>
      </c>
      <c r="H7626">
        <v>2023</v>
      </c>
      <c r="I7626" t="s">
        <v>7741</v>
      </c>
    </row>
    <row r="7627" spans="1:9" x14ac:dyDescent="0.3">
      <c r="A7627" t="s">
        <v>10129</v>
      </c>
      <c r="B7627" t="s">
        <v>72</v>
      </c>
      <c r="C7627">
        <v>8989697390</v>
      </c>
      <c r="D7627" s="2">
        <v>1</v>
      </c>
      <c r="E7627" t="str">
        <f>"4574674200894533"</f>
        <v>4574674200894533</v>
      </c>
      <c r="F7627" t="str">
        <f>"775"</f>
        <v>775</v>
      </c>
      <c r="G7627">
        <v>1</v>
      </c>
      <c r="H7627">
        <v>2023</v>
      </c>
      <c r="I7627" t="s">
        <v>7742</v>
      </c>
    </row>
    <row r="7628" spans="1:9" x14ac:dyDescent="0.3">
      <c r="A7628" t="s">
        <v>10129</v>
      </c>
      <c r="B7628" t="s">
        <v>72</v>
      </c>
      <c r="C7628">
        <v>8989697390</v>
      </c>
      <c r="D7628" s="2">
        <v>1</v>
      </c>
      <c r="E7628" t="str">
        <f>"4574674200894582"</f>
        <v>4574674200894582</v>
      </c>
      <c r="F7628" t="str">
        <f>"047"</f>
        <v>047</v>
      </c>
      <c r="G7628">
        <v>1</v>
      </c>
      <c r="H7628">
        <v>2023</v>
      </c>
      <c r="I7628" t="s">
        <v>7743</v>
      </c>
    </row>
    <row r="7629" spans="1:9" x14ac:dyDescent="0.3">
      <c r="A7629" t="s">
        <v>10129</v>
      </c>
      <c r="B7629" t="s">
        <v>72</v>
      </c>
      <c r="C7629">
        <v>8989697390</v>
      </c>
      <c r="D7629" s="2">
        <v>1</v>
      </c>
      <c r="E7629" t="str">
        <f>"4574674200894590"</f>
        <v>4574674200894590</v>
      </c>
      <c r="F7629" t="str">
        <f>"626"</f>
        <v>626</v>
      </c>
      <c r="G7629">
        <v>1</v>
      </c>
      <c r="H7629">
        <v>2023</v>
      </c>
      <c r="I7629" t="s">
        <v>7744</v>
      </c>
    </row>
    <row r="7630" spans="1:9" x14ac:dyDescent="0.3">
      <c r="A7630" t="s">
        <v>10129</v>
      </c>
      <c r="B7630" t="s">
        <v>72</v>
      </c>
      <c r="C7630">
        <v>8989697390</v>
      </c>
      <c r="D7630" s="2">
        <v>1</v>
      </c>
      <c r="E7630" t="str">
        <f>"4574674200894608"</f>
        <v>4574674200894608</v>
      </c>
      <c r="F7630" t="str">
        <f>"558"</f>
        <v>558</v>
      </c>
      <c r="G7630">
        <v>1</v>
      </c>
      <c r="H7630">
        <v>2023</v>
      </c>
      <c r="I7630" t="s">
        <v>7745</v>
      </c>
    </row>
    <row r="7631" spans="1:9" x14ac:dyDescent="0.3">
      <c r="A7631" t="s">
        <v>10129</v>
      </c>
      <c r="B7631" t="s">
        <v>72</v>
      </c>
      <c r="C7631">
        <v>8989697390</v>
      </c>
      <c r="D7631" s="2">
        <v>1</v>
      </c>
      <c r="E7631" t="str">
        <f>"4574674200894616"</f>
        <v>4574674200894616</v>
      </c>
      <c r="F7631" t="str">
        <f>"890"</f>
        <v>890</v>
      </c>
      <c r="G7631">
        <v>1</v>
      </c>
      <c r="H7631">
        <v>2023</v>
      </c>
      <c r="I7631" t="s">
        <v>7746</v>
      </c>
    </row>
    <row r="7632" spans="1:9" x14ac:dyDescent="0.3">
      <c r="A7632" t="s">
        <v>10129</v>
      </c>
      <c r="B7632" t="s">
        <v>72</v>
      </c>
      <c r="C7632">
        <v>8989697390</v>
      </c>
      <c r="D7632" s="2">
        <v>1</v>
      </c>
      <c r="E7632" t="str">
        <f>"4574674200894665"</f>
        <v>4574674200894665</v>
      </c>
      <c r="F7632" t="str">
        <f>"276"</f>
        <v>276</v>
      </c>
      <c r="G7632">
        <v>1</v>
      </c>
      <c r="H7632">
        <v>2023</v>
      </c>
      <c r="I7632" t="s">
        <v>7747</v>
      </c>
    </row>
    <row r="7633" spans="1:9" x14ac:dyDescent="0.3">
      <c r="A7633" t="s">
        <v>10129</v>
      </c>
      <c r="B7633" t="s">
        <v>72</v>
      </c>
      <c r="C7633">
        <v>8989697390</v>
      </c>
      <c r="D7633" s="2">
        <v>1</v>
      </c>
      <c r="E7633" t="str">
        <f>"4574674200894855"</f>
        <v>4574674200894855</v>
      </c>
      <c r="F7633" t="str">
        <f>"034"</f>
        <v>034</v>
      </c>
      <c r="G7633">
        <v>1</v>
      </c>
      <c r="H7633">
        <v>2023</v>
      </c>
      <c r="I7633" t="s">
        <v>7748</v>
      </c>
    </row>
    <row r="7634" spans="1:9" x14ac:dyDescent="0.3">
      <c r="A7634" t="s">
        <v>10129</v>
      </c>
      <c r="B7634" t="s">
        <v>72</v>
      </c>
      <c r="C7634">
        <v>8989697390</v>
      </c>
      <c r="D7634" s="2">
        <v>1</v>
      </c>
      <c r="E7634" t="str">
        <f>"4574674200894830"</f>
        <v>4574674200894830</v>
      </c>
      <c r="F7634" t="str">
        <f>"053"</f>
        <v>053</v>
      </c>
      <c r="G7634">
        <v>1</v>
      </c>
      <c r="H7634">
        <v>2023</v>
      </c>
      <c r="I7634" t="s">
        <v>7749</v>
      </c>
    </row>
    <row r="7635" spans="1:9" x14ac:dyDescent="0.3">
      <c r="A7635" t="s">
        <v>10129</v>
      </c>
      <c r="B7635" t="s">
        <v>72</v>
      </c>
      <c r="C7635">
        <v>8989697390</v>
      </c>
      <c r="D7635" s="2">
        <v>1</v>
      </c>
      <c r="E7635" t="str">
        <f>"4574674200894871"</f>
        <v>4574674200894871</v>
      </c>
      <c r="F7635" t="str">
        <f>"335"</f>
        <v>335</v>
      </c>
      <c r="G7635">
        <v>1</v>
      </c>
      <c r="H7635">
        <v>2023</v>
      </c>
      <c r="I7635" t="s">
        <v>7750</v>
      </c>
    </row>
    <row r="7636" spans="1:9" x14ac:dyDescent="0.3">
      <c r="A7636" t="s">
        <v>10129</v>
      </c>
      <c r="B7636" t="s">
        <v>72</v>
      </c>
      <c r="C7636">
        <v>8989697390</v>
      </c>
      <c r="D7636" s="2">
        <v>1</v>
      </c>
      <c r="E7636" t="str">
        <f>"4574674200894715"</f>
        <v>4574674200894715</v>
      </c>
      <c r="F7636" t="str">
        <f>"605"</f>
        <v>605</v>
      </c>
      <c r="G7636">
        <v>1</v>
      </c>
      <c r="H7636">
        <v>2023</v>
      </c>
      <c r="I7636" t="s">
        <v>7751</v>
      </c>
    </row>
    <row r="7637" spans="1:9" x14ac:dyDescent="0.3">
      <c r="A7637" t="s">
        <v>10170</v>
      </c>
      <c r="B7637" t="s">
        <v>73</v>
      </c>
      <c r="C7637">
        <v>8989697390</v>
      </c>
      <c r="D7637" s="2">
        <v>1</v>
      </c>
      <c r="E7637" t="str">
        <f>"4574674200894723"</f>
        <v>4574674200894723</v>
      </c>
      <c r="F7637" t="str">
        <f>"580"</f>
        <v>580</v>
      </c>
      <c r="G7637">
        <v>1</v>
      </c>
      <c r="H7637">
        <v>2023</v>
      </c>
      <c r="I7637" t="s">
        <v>7752</v>
      </c>
    </row>
    <row r="7638" spans="1:9" x14ac:dyDescent="0.3">
      <c r="A7638" t="s">
        <v>10170</v>
      </c>
      <c r="B7638" t="s">
        <v>73</v>
      </c>
      <c r="C7638">
        <v>8989697390</v>
      </c>
      <c r="D7638" s="2">
        <v>1</v>
      </c>
      <c r="E7638" t="str">
        <f>"4574674200894921"</f>
        <v>4574674200894921</v>
      </c>
      <c r="F7638" t="str">
        <f>"280"</f>
        <v>280</v>
      </c>
      <c r="G7638">
        <v>1</v>
      </c>
      <c r="H7638">
        <v>2023</v>
      </c>
      <c r="I7638" t="s">
        <v>7753</v>
      </c>
    </row>
    <row r="7639" spans="1:9" x14ac:dyDescent="0.3">
      <c r="A7639" t="s">
        <v>10170</v>
      </c>
      <c r="B7639" t="s">
        <v>73</v>
      </c>
      <c r="C7639">
        <v>8989697390</v>
      </c>
      <c r="D7639" s="2">
        <v>1</v>
      </c>
      <c r="E7639" t="str">
        <f>"4574674200895019"</f>
        <v>4574674200895019</v>
      </c>
      <c r="F7639" t="str">
        <f>"039"</f>
        <v>039</v>
      </c>
      <c r="G7639">
        <v>1</v>
      </c>
      <c r="H7639">
        <v>2023</v>
      </c>
      <c r="I7639" t="s">
        <v>7754</v>
      </c>
    </row>
    <row r="7640" spans="1:9" x14ac:dyDescent="0.3">
      <c r="A7640" t="s">
        <v>10170</v>
      </c>
      <c r="B7640" t="s">
        <v>73</v>
      </c>
      <c r="C7640">
        <v>8989697390</v>
      </c>
      <c r="D7640" s="2">
        <v>1</v>
      </c>
      <c r="E7640" t="str">
        <f>"4574674200894954"</f>
        <v>4574674200894954</v>
      </c>
      <c r="F7640" t="str">
        <f>"834"</f>
        <v>834</v>
      </c>
      <c r="G7640">
        <v>1</v>
      </c>
      <c r="H7640">
        <v>2023</v>
      </c>
      <c r="I7640" t="s">
        <v>7755</v>
      </c>
    </row>
    <row r="7641" spans="1:9" x14ac:dyDescent="0.3">
      <c r="A7641" t="s">
        <v>10170</v>
      </c>
      <c r="B7641" t="s">
        <v>73</v>
      </c>
      <c r="C7641">
        <v>8989697390</v>
      </c>
      <c r="D7641" s="2">
        <v>1</v>
      </c>
      <c r="E7641" t="str">
        <f>"4574674200894996"</f>
        <v>4574674200894996</v>
      </c>
      <c r="F7641" t="str">
        <f>"127"</f>
        <v>127</v>
      </c>
      <c r="G7641">
        <v>1</v>
      </c>
      <c r="H7641">
        <v>2023</v>
      </c>
      <c r="I7641" t="s">
        <v>7756</v>
      </c>
    </row>
    <row r="7642" spans="1:9" x14ac:dyDescent="0.3">
      <c r="A7642" t="s">
        <v>10170</v>
      </c>
      <c r="B7642" t="s">
        <v>73</v>
      </c>
      <c r="C7642">
        <v>8989697390</v>
      </c>
      <c r="D7642" s="2">
        <v>1</v>
      </c>
      <c r="E7642" t="str">
        <f>"4574674200895266"</f>
        <v>4574674200895266</v>
      </c>
      <c r="F7642" t="str">
        <f>"648"</f>
        <v>648</v>
      </c>
      <c r="G7642">
        <v>1</v>
      </c>
      <c r="H7642">
        <v>2023</v>
      </c>
      <c r="I7642" t="s">
        <v>7757</v>
      </c>
    </row>
    <row r="7643" spans="1:9" x14ac:dyDescent="0.3">
      <c r="A7643" t="s">
        <v>10170</v>
      </c>
      <c r="B7643" t="s">
        <v>73</v>
      </c>
      <c r="C7643">
        <v>8989697390</v>
      </c>
      <c r="D7643" s="2">
        <v>1</v>
      </c>
      <c r="E7643" t="str">
        <f>"4574674200895241"</f>
        <v>4574674200895241</v>
      </c>
      <c r="F7643" t="str">
        <f>"913"</f>
        <v>913</v>
      </c>
      <c r="G7643">
        <v>1</v>
      </c>
      <c r="H7643">
        <v>2023</v>
      </c>
      <c r="I7643" t="s">
        <v>7758</v>
      </c>
    </row>
    <row r="7644" spans="1:9" x14ac:dyDescent="0.3">
      <c r="A7644" t="s">
        <v>10170</v>
      </c>
      <c r="B7644" t="s">
        <v>73</v>
      </c>
      <c r="C7644">
        <v>8989697390</v>
      </c>
      <c r="D7644" s="2">
        <v>1</v>
      </c>
      <c r="E7644" t="str">
        <f>"4574674200895050"</f>
        <v>4574674200895050</v>
      </c>
      <c r="F7644" t="str">
        <f>"334"</f>
        <v>334</v>
      </c>
      <c r="G7644">
        <v>1</v>
      </c>
      <c r="H7644">
        <v>2023</v>
      </c>
      <c r="I7644" t="s">
        <v>7759</v>
      </c>
    </row>
    <row r="7645" spans="1:9" x14ac:dyDescent="0.3">
      <c r="A7645" t="s">
        <v>10170</v>
      </c>
      <c r="B7645" t="s">
        <v>73</v>
      </c>
      <c r="C7645">
        <v>8989697390</v>
      </c>
      <c r="D7645" s="2">
        <v>1</v>
      </c>
      <c r="E7645" t="str">
        <f>"4574674200895043"</f>
        <v>4574674200895043</v>
      </c>
      <c r="F7645" t="str">
        <f>"233"</f>
        <v>233</v>
      </c>
      <c r="G7645">
        <v>1</v>
      </c>
      <c r="H7645">
        <v>2023</v>
      </c>
      <c r="I7645" t="s">
        <v>7760</v>
      </c>
    </row>
    <row r="7646" spans="1:9" x14ac:dyDescent="0.3">
      <c r="A7646" t="s">
        <v>10170</v>
      </c>
      <c r="B7646" t="s">
        <v>73</v>
      </c>
      <c r="C7646">
        <v>8989697390</v>
      </c>
      <c r="D7646" s="2">
        <v>1</v>
      </c>
      <c r="E7646" t="str">
        <f>"4574674200895373"</f>
        <v>4574674200895373</v>
      </c>
      <c r="F7646" t="str">
        <f>"166"</f>
        <v>166</v>
      </c>
      <c r="G7646">
        <v>1</v>
      </c>
      <c r="H7646">
        <v>2023</v>
      </c>
      <c r="I7646" t="s">
        <v>7761</v>
      </c>
    </row>
    <row r="7647" spans="1:9" x14ac:dyDescent="0.3">
      <c r="A7647" t="s">
        <v>10171</v>
      </c>
      <c r="B7647" t="s">
        <v>74</v>
      </c>
      <c r="C7647">
        <v>8989697390</v>
      </c>
      <c r="D7647" s="2">
        <v>1</v>
      </c>
      <c r="E7647" t="str">
        <f>"4574674200895324"</f>
        <v>4574674200895324</v>
      </c>
      <c r="F7647" t="str">
        <f>"608"</f>
        <v>608</v>
      </c>
      <c r="G7647">
        <v>1</v>
      </c>
      <c r="H7647">
        <v>2023</v>
      </c>
      <c r="I7647" t="s">
        <v>7762</v>
      </c>
    </row>
    <row r="7648" spans="1:9" x14ac:dyDescent="0.3">
      <c r="A7648" t="s">
        <v>10171</v>
      </c>
      <c r="B7648" t="s">
        <v>74</v>
      </c>
      <c r="C7648">
        <v>8989697390</v>
      </c>
      <c r="D7648" s="2">
        <v>1</v>
      </c>
      <c r="E7648" t="str">
        <f>"4574674200895415"</f>
        <v>4574674200895415</v>
      </c>
      <c r="F7648" t="str">
        <f>"628"</f>
        <v>628</v>
      </c>
      <c r="G7648">
        <v>1</v>
      </c>
      <c r="H7648">
        <v>2023</v>
      </c>
      <c r="I7648" t="s">
        <v>7763</v>
      </c>
    </row>
    <row r="7649" spans="1:9" x14ac:dyDescent="0.3">
      <c r="A7649" t="s">
        <v>10171</v>
      </c>
      <c r="B7649" t="s">
        <v>74</v>
      </c>
      <c r="C7649">
        <v>8989697390</v>
      </c>
      <c r="D7649" s="2">
        <v>1</v>
      </c>
      <c r="E7649" t="str">
        <f>"4574674200895134"</f>
        <v>4574674200895134</v>
      </c>
      <c r="F7649" t="str">
        <f>"995"</f>
        <v>995</v>
      </c>
      <c r="G7649">
        <v>1</v>
      </c>
      <c r="H7649">
        <v>2023</v>
      </c>
      <c r="I7649" t="s">
        <v>7764</v>
      </c>
    </row>
    <row r="7650" spans="1:9" x14ac:dyDescent="0.3">
      <c r="A7650" t="s">
        <v>10171</v>
      </c>
      <c r="B7650" t="s">
        <v>74</v>
      </c>
      <c r="C7650">
        <v>8989697390</v>
      </c>
      <c r="D7650" s="2">
        <v>1</v>
      </c>
      <c r="E7650" t="str">
        <f>"4574674200895191"</f>
        <v>4574674200895191</v>
      </c>
      <c r="F7650" t="str">
        <f>"081"</f>
        <v>081</v>
      </c>
      <c r="G7650">
        <v>1</v>
      </c>
      <c r="H7650">
        <v>2023</v>
      </c>
      <c r="I7650" t="s">
        <v>7765</v>
      </c>
    </row>
    <row r="7651" spans="1:9" x14ac:dyDescent="0.3">
      <c r="A7651" t="s">
        <v>10171</v>
      </c>
      <c r="B7651" t="s">
        <v>74</v>
      </c>
      <c r="C7651">
        <v>8989697390</v>
      </c>
      <c r="D7651" s="2">
        <v>1</v>
      </c>
      <c r="E7651" t="str">
        <f>"4574674200895183"</f>
        <v>4574674200895183</v>
      </c>
      <c r="F7651" t="str">
        <f>"896"</f>
        <v>896</v>
      </c>
      <c r="G7651">
        <v>1</v>
      </c>
      <c r="H7651">
        <v>2023</v>
      </c>
      <c r="I7651" t="s">
        <v>7766</v>
      </c>
    </row>
    <row r="7652" spans="1:9" x14ac:dyDescent="0.3">
      <c r="A7652" t="s">
        <v>10171</v>
      </c>
      <c r="B7652" t="s">
        <v>74</v>
      </c>
      <c r="C7652">
        <v>8989697390</v>
      </c>
      <c r="D7652" s="2">
        <v>1</v>
      </c>
      <c r="E7652" t="str">
        <f>"4574674200895456"</f>
        <v>4574674200895456</v>
      </c>
      <c r="F7652" t="str">
        <f>"277"</f>
        <v>277</v>
      </c>
      <c r="G7652">
        <v>1</v>
      </c>
      <c r="H7652">
        <v>2023</v>
      </c>
      <c r="I7652" t="s">
        <v>7767</v>
      </c>
    </row>
    <row r="7653" spans="1:9" x14ac:dyDescent="0.3">
      <c r="A7653" t="s">
        <v>10171</v>
      </c>
      <c r="B7653" t="s">
        <v>74</v>
      </c>
      <c r="C7653">
        <v>8989697390</v>
      </c>
      <c r="D7653" s="2">
        <v>1</v>
      </c>
      <c r="E7653" t="str">
        <f>"4574674200895662"</f>
        <v>4574674200895662</v>
      </c>
      <c r="F7653" t="str">
        <f>"939"</f>
        <v>939</v>
      </c>
      <c r="G7653">
        <v>1</v>
      </c>
      <c r="H7653">
        <v>2023</v>
      </c>
      <c r="I7653" t="s">
        <v>7768</v>
      </c>
    </row>
    <row r="7654" spans="1:9" x14ac:dyDescent="0.3">
      <c r="A7654" t="s">
        <v>10171</v>
      </c>
      <c r="B7654" t="s">
        <v>74</v>
      </c>
      <c r="C7654">
        <v>8989697390</v>
      </c>
      <c r="D7654" s="2">
        <v>1</v>
      </c>
      <c r="E7654" t="str">
        <f>"4574674200895696"</f>
        <v>4574674200895696</v>
      </c>
      <c r="F7654" t="str">
        <f>"312"</f>
        <v>312</v>
      </c>
      <c r="G7654">
        <v>1</v>
      </c>
      <c r="H7654">
        <v>2023</v>
      </c>
      <c r="I7654" t="s">
        <v>7769</v>
      </c>
    </row>
    <row r="7655" spans="1:9" x14ac:dyDescent="0.3">
      <c r="A7655" t="s">
        <v>10171</v>
      </c>
      <c r="B7655" t="s">
        <v>74</v>
      </c>
      <c r="C7655">
        <v>8989697390</v>
      </c>
      <c r="D7655" s="2">
        <v>1</v>
      </c>
      <c r="E7655" t="str">
        <f>"4574674200895530"</f>
        <v>4574674200895530</v>
      </c>
      <c r="F7655" t="str">
        <f>"356"</f>
        <v>356</v>
      </c>
      <c r="G7655">
        <v>1</v>
      </c>
      <c r="H7655">
        <v>2023</v>
      </c>
      <c r="I7655" t="s">
        <v>7770</v>
      </c>
    </row>
    <row r="7656" spans="1:9" x14ac:dyDescent="0.3">
      <c r="A7656" t="s">
        <v>10171</v>
      </c>
      <c r="B7656" t="s">
        <v>74</v>
      </c>
      <c r="C7656">
        <v>8989697390</v>
      </c>
      <c r="D7656" s="2">
        <v>1</v>
      </c>
      <c r="E7656" t="str">
        <f>"4574674200895548"</f>
        <v>4574674200895548</v>
      </c>
      <c r="F7656" t="str">
        <f>"879"</f>
        <v>879</v>
      </c>
      <c r="G7656">
        <v>1</v>
      </c>
      <c r="H7656">
        <v>2023</v>
      </c>
      <c r="I7656" t="s">
        <v>7771</v>
      </c>
    </row>
    <row r="7657" spans="1:9" x14ac:dyDescent="0.3">
      <c r="A7657" t="s">
        <v>10172</v>
      </c>
      <c r="B7657" t="s">
        <v>75</v>
      </c>
      <c r="C7657">
        <v>8989697390</v>
      </c>
      <c r="D7657" s="2">
        <v>1</v>
      </c>
      <c r="E7657" t="str">
        <f>"4574674200895712"</f>
        <v>4574674200895712</v>
      </c>
      <c r="F7657" t="str">
        <f>"273"</f>
        <v>273</v>
      </c>
      <c r="G7657">
        <v>1</v>
      </c>
      <c r="H7657">
        <v>2023</v>
      </c>
      <c r="I7657" t="s">
        <v>7772</v>
      </c>
    </row>
    <row r="7658" spans="1:9" x14ac:dyDescent="0.3">
      <c r="A7658" t="s">
        <v>10172</v>
      </c>
      <c r="B7658" t="s">
        <v>75</v>
      </c>
      <c r="C7658">
        <v>8989697390</v>
      </c>
      <c r="D7658" s="2">
        <v>1</v>
      </c>
      <c r="E7658" t="str">
        <f>"4574674200895829"</f>
        <v>4574674200895829</v>
      </c>
      <c r="F7658" t="str">
        <f>"923"</f>
        <v>923</v>
      </c>
      <c r="G7658">
        <v>1</v>
      </c>
      <c r="H7658">
        <v>2023</v>
      </c>
      <c r="I7658" t="s">
        <v>7773</v>
      </c>
    </row>
    <row r="7659" spans="1:9" x14ac:dyDescent="0.3">
      <c r="A7659" t="s">
        <v>10172</v>
      </c>
      <c r="B7659" t="s">
        <v>75</v>
      </c>
      <c r="C7659">
        <v>8989697390</v>
      </c>
      <c r="D7659" s="2">
        <v>1</v>
      </c>
      <c r="E7659" t="str">
        <f>"4574674200895811"</f>
        <v>4574674200895811</v>
      </c>
      <c r="F7659" t="str">
        <f>"182"</f>
        <v>182</v>
      </c>
      <c r="G7659">
        <v>1</v>
      </c>
      <c r="H7659">
        <v>2023</v>
      </c>
      <c r="I7659" t="s">
        <v>7774</v>
      </c>
    </row>
    <row r="7660" spans="1:9" x14ac:dyDescent="0.3">
      <c r="A7660" t="s">
        <v>10172</v>
      </c>
      <c r="B7660" t="s">
        <v>75</v>
      </c>
      <c r="C7660">
        <v>8989697390</v>
      </c>
      <c r="D7660" s="2">
        <v>1</v>
      </c>
      <c r="E7660" t="str">
        <f>"4574674200895738"</f>
        <v>4574674200895738</v>
      </c>
      <c r="F7660" t="str">
        <f>"697"</f>
        <v>697</v>
      </c>
      <c r="G7660">
        <v>1</v>
      </c>
      <c r="H7660">
        <v>2023</v>
      </c>
      <c r="I7660" t="s">
        <v>7775</v>
      </c>
    </row>
    <row r="7661" spans="1:9" x14ac:dyDescent="0.3">
      <c r="A7661" t="s">
        <v>10172</v>
      </c>
      <c r="B7661" t="s">
        <v>75</v>
      </c>
      <c r="C7661">
        <v>8989697390</v>
      </c>
      <c r="D7661" s="2">
        <v>1</v>
      </c>
      <c r="E7661" t="str">
        <f>"4574674200895902"</f>
        <v>4574674200895902</v>
      </c>
      <c r="F7661" t="str">
        <f>"609"</f>
        <v>609</v>
      </c>
      <c r="G7661">
        <v>1</v>
      </c>
      <c r="H7661">
        <v>2023</v>
      </c>
      <c r="I7661" t="s">
        <v>7776</v>
      </c>
    </row>
    <row r="7662" spans="1:9" x14ac:dyDescent="0.3">
      <c r="A7662" t="s">
        <v>10172</v>
      </c>
      <c r="B7662" t="s">
        <v>75</v>
      </c>
      <c r="C7662">
        <v>8989697390</v>
      </c>
      <c r="D7662" s="2">
        <v>1</v>
      </c>
      <c r="E7662" t="str">
        <f>"4574674200895936"</f>
        <v>4574674200895936</v>
      </c>
      <c r="F7662" t="str">
        <f>"623"</f>
        <v>623</v>
      </c>
      <c r="G7662">
        <v>1</v>
      </c>
      <c r="H7662">
        <v>2023</v>
      </c>
      <c r="I7662" t="s">
        <v>7777</v>
      </c>
    </row>
    <row r="7663" spans="1:9" x14ac:dyDescent="0.3">
      <c r="A7663" t="s">
        <v>10172</v>
      </c>
      <c r="B7663" t="s">
        <v>75</v>
      </c>
      <c r="C7663">
        <v>8989697390</v>
      </c>
      <c r="D7663" s="2">
        <v>1</v>
      </c>
      <c r="E7663" t="str">
        <f>"4574674200895787"</f>
        <v>4574674200895787</v>
      </c>
      <c r="F7663" t="str">
        <f>"505"</f>
        <v>505</v>
      </c>
      <c r="G7663">
        <v>1</v>
      </c>
      <c r="H7663">
        <v>2023</v>
      </c>
      <c r="I7663" t="s">
        <v>7778</v>
      </c>
    </row>
    <row r="7664" spans="1:9" x14ac:dyDescent="0.3">
      <c r="A7664" t="s">
        <v>10172</v>
      </c>
      <c r="B7664" t="s">
        <v>75</v>
      </c>
      <c r="C7664">
        <v>8989697390</v>
      </c>
      <c r="D7664" s="2">
        <v>1</v>
      </c>
      <c r="E7664" t="str">
        <f>"4574674200895969"</f>
        <v>4574674200895969</v>
      </c>
      <c r="F7664" t="str">
        <f>"055"</f>
        <v>055</v>
      </c>
      <c r="G7664">
        <v>1</v>
      </c>
      <c r="H7664">
        <v>2023</v>
      </c>
      <c r="I7664" t="s">
        <v>7779</v>
      </c>
    </row>
    <row r="7665" spans="1:9" x14ac:dyDescent="0.3">
      <c r="A7665" t="s">
        <v>10172</v>
      </c>
      <c r="B7665" t="s">
        <v>75</v>
      </c>
      <c r="C7665">
        <v>8989697390</v>
      </c>
      <c r="D7665" s="2">
        <v>1</v>
      </c>
      <c r="E7665" t="str">
        <f>"4574674200896009"</f>
        <v>4574674200896009</v>
      </c>
      <c r="F7665" t="str">
        <f>"158"</f>
        <v>158</v>
      </c>
      <c r="G7665">
        <v>1</v>
      </c>
      <c r="H7665">
        <v>2023</v>
      </c>
      <c r="I7665" t="s">
        <v>7780</v>
      </c>
    </row>
    <row r="7666" spans="1:9" x14ac:dyDescent="0.3">
      <c r="A7666" t="s">
        <v>10172</v>
      </c>
      <c r="B7666" t="s">
        <v>75</v>
      </c>
      <c r="C7666">
        <v>8989697390</v>
      </c>
      <c r="D7666" s="2">
        <v>1</v>
      </c>
      <c r="E7666" t="str">
        <f>"4574674200896272"</f>
        <v>4574674200896272</v>
      </c>
      <c r="F7666" t="str">
        <f>"793"</f>
        <v>793</v>
      </c>
      <c r="G7666">
        <v>1</v>
      </c>
      <c r="H7666">
        <v>2023</v>
      </c>
      <c r="I7666" t="s">
        <v>7781</v>
      </c>
    </row>
    <row r="7667" spans="1:9" x14ac:dyDescent="0.3">
      <c r="A7667" t="s">
        <v>10173</v>
      </c>
      <c r="B7667" t="s">
        <v>76</v>
      </c>
      <c r="C7667">
        <v>8989697390</v>
      </c>
      <c r="D7667" s="2">
        <v>1</v>
      </c>
      <c r="E7667" t="str">
        <f>"4574674200896140"</f>
        <v>4574674200896140</v>
      </c>
      <c r="F7667" t="str">
        <f>"049"</f>
        <v>049</v>
      </c>
      <c r="G7667">
        <v>1</v>
      </c>
      <c r="H7667">
        <v>2023</v>
      </c>
      <c r="I7667" t="s">
        <v>7782</v>
      </c>
    </row>
    <row r="7668" spans="1:9" x14ac:dyDescent="0.3">
      <c r="A7668" t="s">
        <v>10173</v>
      </c>
      <c r="B7668" t="s">
        <v>76</v>
      </c>
      <c r="C7668">
        <v>8989697390</v>
      </c>
      <c r="D7668" s="2">
        <v>1</v>
      </c>
      <c r="E7668" t="str">
        <f>"4574674200896116"</f>
        <v>4574674200896116</v>
      </c>
      <c r="F7668" t="str">
        <f>"471"</f>
        <v>471</v>
      </c>
      <c r="G7668">
        <v>1</v>
      </c>
      <c r="H7668">
        <v>2023</v>
      </c>
      <c r="I7668" t="s">
        <v>7783</v>
      </c>
    </row>
    <row r="7669" spans="1:9" x14ac:dyDescent="0.3">
      <c r="A7669" t="s">
        <v>10173</v>
      </c>
      <c r="B7669" t="s">
        <v>76</v>
      </c>
      <c r="C7669">
        <v>8989697390</v>
      </c>
      <c r="D7669" s="2">
        <v>1</v>
      </c>
      <c r="E7669" t="str">
        <f>"4574674200896108"</f>
        <v>4574674200896108</v>
      </c>
      <c r="F7669" t="str">
        <f>"866"</f>
        <v>866</v>
      </c>
      <c r="G7669">
        <v>1</v>
      </c>
      <c r="H7669">
        <v>2023</v>
      </c>
      <c r="I7669" t="s">
        <v>7784</v>
      </c>
    </row>
    <row r="7670" spans="1:9" x14ac:dyDescent="0.3">
      <c r="A7670" t="s">
        <v>10173</v>
      </c>
      <c r="B7670" t="s">
        <v>76</v>
      </c>
      <c r="C7670">
        <v>8989697390</v>
      </c>
      <c r="D7670" s="2">
        <v>1</v>
      </c>
      <c r="E7670" t="str">
        <f>"4574674200896306"</f>
        <v>4574674200896306</v>
      </c>
      <c r="F7670" t="str">
        <f>"339"</f>
        <v>339</v>
      </c>
      <c r="G7670">
        <v>1</v>
      </c>
      <c r="H7670">
        <v>2023</v>
      </c>
      <c r="I7670" t="s">
        <v>7785</v>
      </c>
    </row>
    <row r="7671" spans="1:9" x14ac:dyDescent="0.3">
      <c r="A7671" t="s">
        <v>10173</v>
      </c>
      <c r="B7671" t="s">
        <v>76</v>
      </c>
      <c r="C7671">
        <v>8989697390</v>
      </c>
      <c r="D7671" s="2">
        <v>1</v>
      </c>
      <c r="E7671" t="str">
        <f>"4574674200896165"</f>
        <v>4574674200896165</v>
      </c>
      <c r="F7671" t="str">
        <f>"871"</f>
        <v>871</v>
      </c>
      <c r="G7671">
        <v>1</v>
      </c>
      <c r="H7671">
        <v>2023</v>
      </c>
      <c r="I7671" t="s">
        <v>7786</v>
      </c>
    </row>
    <row r="7672" spans="1:9" x14ac:dyDescent="0.3">
      <c r="A7672" t="s">
        <v>10173</v>
      </c>
      <c r="B7672" t="s">
        <v>76</v>
      </c>
      <c r="C7672">
        <v>8989697390</v>
      </c>
      <c r="D7672" s="2">
        <v>1</v>
      </c>
      <c r="E7672" t="str">
        <f>"4574674200896322"</f>
        <v>4574674200896322</v>
      </c>
      <c r="F7672" t="str">
        <f>"538"</f>
        <v>538</v>
      </c>
      <c r="G7672">
        <v>1</v>
      </c>
      <c r="H7672">
        <v>2023</v>
      </c>
      <c r="I7672" t="s">
        <v>7787</v>
      </c>
    </row>
    <row r="7673" spans="1:9" x14ac:dyDescent="0.3">
      <c r="A7673" t="s">
        <v>10173</v>
      </c>
      <c r="B7673" t="s">
        <v>76</v>
      </c>
      <c r="C7673">
        <v>8989697390</v>
      </c>
      <c r="D7673" s="2">
        <v>1</v>
      </c>
      <c r="E7673" t="str">
        <f>"4574674200896413"</f>
        <v>4574674200896413</v>
      </c>
      <c r="F7673" t="str">
        <f>"389"</f>
        <v>389</v>
      </c>
      <c r="G7673">
        <v>1</v>
      </c>
      <c r="H7673">
        <v>2023</v>
      </c>
      <c r="I7673" t="s">
        <v>7788</v>
      </c>
    </row>
    <row r="7674" spans="1:9" x14ac:dyDescent="0.3">
      <c r="A7674" t="s">
        <v>10173</v>
      </c>
      <c r="B7674" t="s">
        <v>76</v>
      </c>
      <c r="C7674">
        <v>8989697390</v>
      </c>
      <c r="D7674" s="2">
        <v>1</v>
      </c>
      <c r="E7674" t="str">
        <f>"4574674200896488"</f>
        <v>4574674200896488</v>
      </c>
      <c r="F7674" t="str">
        <f>"488"</f>
        <v>488</v>
      </c>
      <c r="G7674">
        <v>1</v>
      </c>
      <c r="H7674">
        <v>2023</v>
      </c>
      <c r="I7674" t="s">
        <v>7789</v>
      </c>
    </row>
    <row r="7675" spans="1:9" x14ac:dyDescent="0.3">
      <c r="A7675" t="s">
        <v>10173</v>
      </c>
      <c r="B7675" t="s">
        <v>76</v>
      </c>
      <c r="C7675">
        <v>8989697390</v>
      </c>
      <c r="D7675" s="2">
        <v>1</v>
      </c>
      <c r="E7675" t="str">
        <f>"4574674200896496"</f>
        <v>4574674200896496</v>
      </c>
      <c r="F7675" t="str">
        <f>"161"</f>
        <v>161</v>
      </c>
      <c r="G7675">
        <v>1</v>
      </c>
      <c r="H7675">
        <v>2023</v>
      </c>
      <c r="I7675" t="s">
        <v>7790</v>
      </c>
    </row>
    <row r="7676" spans="1:9" x14ac:dyDescent="0.3">
      <c r="A7676" t="s">
        <v>10173</v>
      </c>
      <c r="B7676" t="s">
        <v>76</v>
      </c>
      <c r="C7676">
        <v>8989697390</v>
      </c>
      <c r="D7676" s="2">
        <v>1</v>
      </c>
      <c r="E7676" t="str">
        <f>"4574674200896538"</f>
        <v>4574674200896538</v>
      </c>
      <c r="F7676" t="str">
        <f>"893"</f>
        <v>893</v>
      </c>
      <c r="G7676">
        <v>1</v>
      </c>
      <c r="H7676">
        <v>2023</v>
      </c>
      <c r="I7676" t="s">
        <v>7791</v>
      </c>
    </row>
    <row r="7677" spans="1:9" x14ac:dyDescent="0.3">
      <c r="A7677" t="s">
        <v>10146</v>
      </c>
      <c r="B7677" t="s">
        <v>61</v>
      </c>
      <c r="C7677">
        <v>8989697390</v>
      </c>
      <c r="D7677" s="2">
        <v>1</v>
      </c>
      <c r="E7677" t="str">
        <f>"4574674200896603"</f>
        <v>4574674200896603</v>
      </c>
      <c r="F7677" t="str">
        <f>"070"</f>
        <v>070</v>
      </c>
      <c r="G7677">
        <v>1</v>
      </c>
      <c r="H7677">
        <v>2023</v>
      </c>
      <c r="I7677" t="s">
        <v>7792</v>
      </c>
    </row>
    <row r="7678" spans="1:9" x14ac:dyDescent="0.3">
      <c r="A7678" t="s">
        <v>10146</v>
      </c>
      <c r="B7678" t="s">
        <v>61</v>
      </c>
      <c r="C7678">
        <v>8989697390</v>
      </c>
      <c r="D7678" s="2">
        <v>1</v>
      </c>
      <c r="E7678" t="str">
        <f>"4574674200896546"</f>
        <v>4574674200896546</v>
      </c>
      <c r="F7678" t="str">
        <f>"089"</f>
        <v>089</v>
      </c>
      <c r="G7678">
        <v>1</v>
      </c>
      <c r="H7678">
        <v>2023</v>
      </c>
      <c r="I7678" t="s">
        <v>7793</v>
      </c>
    </row>
    <row r="7679" spans="1:9" x14ac:dyDescent="0.3">
      <c r="A7679" t="s">
        <v>10146</v>
      </c>
      <c r="B7679" t="s">
        <v>61</v>
      </c>
      <c r="C7679">
        <v>8989697390</v>
      </c>
      <c r="D7679" s="2">
        <v>1</v>
      </c>
      <c r="E7679" t="str">
        <f>"4574674200896678"</f>
        <v>4574674200896678</v>
      </c>
      <c r="F7679" t="str">
        <f>"814"</f>
        <v>814</v>
      </c>
      <c r="G7679">
        <v>1</v>
      </c>
      <c r="H7679">
        <v>2023</v>
      </c>
      <c r="I7679" t="s">
        <v>7794</v>
      </c>
    </row>
    <row r="7680" spans="1:9" x14ac:dyDescent="0.3">
      <c r="A7680" t="s">
        <v>10146</v>
      </c>
      <c r="B7680" t="s">
        <v>61</v>
      </c>
      <c r="C7680">
        <v>8989697390</v>
      </c>
      <c r="D7680" s="2">
        <v>1</v>
      </c>
      <c r="E7680" t="str">
        <f>"4574674200896827"</f>
        <v>4574674200896827</v>
      </c>
      <c r="F7680" t="str">
        <f>"239"</f>
        <v>239</v>
      </c>
      <c r="G7680">
        <v>1</v>
      </c>
      <c r="H7680">
        <v>2023</v>
      </c>
      <c r="I7680" t="s">
        <v>7795</v>
      </c>
    </row>
    <row r="7681" spans="1:9" x14ac:dyDescent="0.3">
      <c r="A7681" t="s">
        <v>10146</v>
      </c>
      <c r="B7681" t="s">
        <v>61</v>
      </c>
      <c r="C7681">
        <v>8989697390</v>
      </c>
      <c r="D7681" s="2">
        <v>1</v>
      </c>
      <c r="E7681" t="str">
        <f>"4574674200896850"</f>
        <v>4574674200896850</v>
      </c>
      <c r="F7681" t="str">
        <f>"189"</f>
        <v>189</v>
      </c>
      <c r="G7681">
        <v>1</v>
      </c>
      <c r="H7681">
        <v>2023</v>
      </c>
      <c r="I7681" t="s">
        <v>7796</v>
      </c>
    </row>
    <row r="7682" spans="1:9" x14ac:dyDescent="0.3">
      <c r="A7682" t="s">
        <v>10146</v>
      </c>
      <c r="B7682" t="s">
        <v>61</v>
      </c>
      <c r="C7682">
        <v>8989697390</v>
      </c>
      <c r="D7682" s="2">
        <v>1</v>
      </c>
      <c r="E7682" t="str">
        <f>"4574674200896876"</f>
        <v>4574674200896876</v>
      </c>
      <c r="F7682" t="str">
        <f>"154"</f>
        <v>154</v>
      </c>
      <c r="G7682">
        <v>1</v>
      </c>
      <c r="H7682">
        <v>2023</v>
      </c>
      <c r="I7682" t="s">
        <v>7797</v>
      </c>
    </row>
    <row r="7683" spans="1:9" x14ac:dyDescent="0.3">
      <c r="A7683" t="s">
        <v>10146</v>
      </c>
      <c r="B7683" t="s">
        <v>61</v>
      </c>
      <c r="C7683">
        <v>8989697390</v>
      </c>
      <c r="D7683" s="2">
        <v>1</v>
      </c>
      <c r="E7683" t="str">
        <f>"4574674200896884"</f>
        <v>4574674200896884</v>
      </c>
      <c r="F7683" t="str">
        <f>"210"</f>
        <v>210</v>
      </c>
      <c r="G7683">
        <v>1</v>
      </c>
      <c r="H7683">
        <v>2023</v>
      </c>
      <c r="I7683" t="s">
        <v>7798</v>
      </c>
    </row>
    <row r="7684" spans="1:9" x14ac:dyDescent="0.3">
      <c r="A7684" t="s">
        <v>10146</v>
      </c>
      <c r="B7684" t="s">
        <v>61</v>
      </c>
      <c r="C7684">
        <v>8989697390</v>
      </c>
      <c r="D7684" s="2">
        <v>1</v>
      </c>
      <c r="E7684" t="str">
        <f>"4574674200896900"</f>
        <v>4574674200896900</v>
      </c>
      <c r="F7684" t="str">
        <f>"690"</f>
        <v>690</v>
      </c>
      <c r="G7684">
        <v>1</v>
      </c>
      <c r="H7684">
        <v>2023</v>
      </c>
      <c r="I7684" t="s">
        <v>7799</v>
      </c>
    </row>
    <row r="7685" spans="1:9" x14ac:dyDescent="0.3">
      <c r="A7685" t="s">
        <v>10146</v>
      </c>
      <c r="B7685" t="s">
        <v>61</v>
      </c>
      <c r="C7685">
        <v>8989697390</v>
      </c>
      <c r="D7685" s="2">
        <v>1</v>
      </c>
      <c r="E7685" t="str">
        <f>"4574674200896702"</f>
        <v>4574674200896702</v>
      </c>
      <c r="F7685" t="str">
        <f>"477"</f>
        <v>477</v>
      </c>
      <c r="G7685">
        <v>1</v>
      </c>
      <c r="H7685">
        <v>2023</v>
      </c>
      <c r="I7685" t="s">
        <v>7800</v>
      </c>
    </row>
    <row r="7686" spans="1:9" x14ac:dyDescent="0.3">
      <c r="A7686" t="s">
        <v>10146</v>
      </c>
      <c r="B7686" t="s">
        <v>61</v>
      </c>
      <c r="C7686">
        <v>8989697390</v>
      </c>
      <c r="D7686" s="2">
        <v>1</v>
      </c>
      <c r="E7686" t="str">
        <f>"4574674200896777"</f>
        <v>4574674200896777</v>
      </c>
      <c r="F7686" t="str">
        <f>"289"</f>
        <v>289</v>
      </c>
      <c r="G7686">
        <v>1</v>
      </c>
      <c r="H7686">
        <v>2023</v>
      </c>
      <c r="I7686" t="s">
        <v>7801</v>
      </c>
    </row>
    <row r="7687" spans="1:9" x14ac:dyDescent="0.3">
      <c r="A7687" t="s">
        <v>10174</v>
      </c>
      <c r="B7687" t="s">
        <v>77</v>
      </c>
      <c r="C7687">
        <v>8989697390</v>
      </c>
      <c r="D7687" s="2">
        <v>1</v>
      </c>
      <c r="E7687" t="str">
        <f>"4574674200896967"</f>
        <v>4574674200896967</v>
      </c>
      <c r="F7687" t="str">
        <f>"331"</f>
        <v>331</v>
      </c>
      <c r="G7687">
        <v>1</v>
      </c>
      <c r="H7687">
        <v>2023</v>
      </c>
      <c r="I7687" t="s">
        <v>7802</v>
      </c>
    </row>
    <row r="7688" spans="1:9" x14ac:dyDescent="0.3">
      <c r="A7688" t="s">
        <v>10174</v>
      </c>
      <c r="B7688" t="s">
        <v>77</v>
      </c>
      <c r="C7688">
        <v>8989697390</v>
      </c>
      <c r="D7688" s="2">
        <v>1</v>
      </c>
      <c r="E7688" t="str">
        <f>"4574674200896975"</f>
        <v>4574674200896975</v>
      </c>
      <c r="F7688" t="str">
        <f>"137"</f>
        <v>137</v>
      </c>
      <c r="G7688">
        <v>1</v>
      </c>
      <c r="H7688">
        <v>2023</v>
      </c>
      <c r="I7688" t="s">
        <v>7803</v>
      </c>
    </row>
    <row r="7689" spans="1:9" x14ac:dyDescent="0.3">
      <c r="A7689" t="s">
        <v>10174</v>
      </c>
      <c r="B7689" t="s">
        <v>77</v>
      </c>
      <c r="C7689">
        <v>8989697390</v>
      </c>
      <c r="D7689" s="2">
        <v>1</v>
      </c>
      <c r="E7689" t="str">
        <f>"4574674200897106"</f>
        <v>4574674200897106</v>
      </c>
      <c r="F7689" t="str">
        <f>"261"</f>
        <v>261</v>
      </c>
      <c r="G7689">
        <v>1</v>
      </c>
      <c r="H7689">
        <v>2023</v>
      </c>
      <c r="I7689" t="s">
        <v>7804</v>
      </c>
    </row>
    <row r="7690" spans="1:9" x14ac:dyDescent="0.3">
      <c r="A7690" t="s">
        <v>10174</v>
      </c>
      <c r="B7690" t="s">
        <v>77</v>
      </c>
      <c r="C7690">
        <v>8989697390</v>
      </c>
      <c r="D7690" s="2">
        <v>1</v>
      </c>
      <c r="E7690" t="str">
        <f>"4574674200897122"</f>
        <v>4574674200897122</v>
      </c>
      <c r="F7690" t="str">
        <f>"708"</f>
        <v>708</v>
      </c>
      <c r="G7690">
        <v>1</v>
      </c>
      <c r="H7690">
        <v>2023</v>
      </c>
      <c r="I7690" t="s">
        <v>7805</v>
      </c>
    </row>
    <row r="7691" spans="1:9" x14ac:dyDescent="0.3">
      <c r="A7691" t="s">
        <v>10174</v>
      </c>
      <c r="B7691" t="s">
        <v>77</v>
      </c>
      <c r="C7691">
        <v>8989697390</v>
      </c>
      <c r="D7691" s="2">
        <v>1</v>
      </c>
      <c r="E7691" t="str">
        <f>"4574674200897247"</f>
        <v>4574674200897247</v>
      </c>
      <c r="F7691" t="str">
        <f>"840"</f>
        <v>840</v>
      </c>
      <c r="G7691">
        <v>1</v>
      </c>
      <c r="H7691">
        <v>2023</v>
      </c>
      <c r="I7691" t="s">
        <v>7806</v>
      </c>
    </row>
    <row r="7692" spans="1:9" x14ac:dyDescent="0.3">
      <c r="A7692" t="s">
        <v>10174</v>
      </c>
      <c r="B7692" t="s">
        <v>77</v>
      </c>
      <c r="C7692">
        <v>8989697390</v>
      </c>
      <c r="D7692" s="2">
        <v>1</v>
      </c>
      <c r="E7692" t="str">
        <f>"4574674200897270"</f>
        <v>4574674200897270</v>
      </c>
      <c r="F7692" t="str">
        <f>"938"</f>
        <v>938</v>
      </c>
      <c r="G7692">
        <v>1</v>
      </c>
      <c r="H7692">
        <v>2023</v>
      </c>
      <c r="I7692" t="s">
        <v>7807</v>
      </c>
    </row>
    <row r="7693" spans="1:9" x14ac:dyDescent="0.3">
      <c r="A7693" t="s">
        <v>10174</v>
      </c>
      <c r="B7693" t="s">
        <v>77</v>
      </c>
      <c r="C7693">
        <v>8989697390</v>
      </c>
      <c r="D7693" s="2">
        <v>1</v>
      </c>
      <c r="E7693" t="str">
        <f>"4574674200897304"</f>
        <v>4574674200897304</v>
      </c>
      <c r="F7693" t="str">
        <f>"839"</f>
        <v>839</v>
      </c>
      <c r="G7693">
        <v>1</v>
      </c>
      <c r="H7693">
        <v>2023</v>
      </c>
      <c r="I7693" t="s">
        <v>7808</v>
      </c>
    </row>
    <row r="7694" spans="1:9" x14ac:dyDescent="0.3">
      <c r="A7694" t="s">
        <v>10174</v>
      </c>
      <c r="B7694" t="s">
        <v>77</v>
      </c>
      <c r="C7694">
        <v>8989697390</v>
      </c>
      <c r="D7694" s="2">
        <v>1</v>
      </c>
      <c r="E7694" t="str">
        <f>"4574674200897320"</f>
        <v>4574674200897320</v>
      </c>
      <c r="F7694" t="str">
        <f>"713"</f>
        <v>713</v>
      </c>
      <c r="G7694">
        <v>1</v>
      </c>
      <c r="H7694">
        <v>2023</v>
      </c>
      <c r="I7694" t="s">
        <v>7809</v>
      </c>
    </row>
    <row r="7695" spans="1:9" x14ac:dyDescent="0.3">
      <c r="A7695" t="s">
        <v>10174</v>
      </c>
      <c r="B7695" t="s">
        <v>77</v>
      </c>
      <c r="C7695">
        <v>8989697390</v>
      </c>
      <c r="D7695" s="2">
        <v>1</v>
      </c>
      <c r="E7695" t="str">
        <f>"4574674200897353"</f>
        <v>4574674200897353</v>
      </c>
      <c r="F7695" t="str">
        <f>"504"</f>
        <v>504</v>
      </c>
      <c r="G7695">
        <v>1</v>
      </c>
      <c r="H7695">
        <v>2023</v>
      </c>
      <c r="I7695" t="s">
        <v>7810</v>
      </c>
    </row>
    <row r="7696" spans="1:9" x14ac:dyDescent="0.3">
      <c r="A7696" t="s">
        <v>10174</v>
      </c>
      <c r="B7696" t="s">
        <v>77</v>
      </c>
      <c r="C7696">
        <v>8989697390</v>
      </c>
      <c r="D7696" s="2">
        <v>1</v>
      </c>
      <c r="E7696" t="str">
        <f>"4574674200897148"</f>
        <v>4574674200897148</v>
      </c>
      <c r="F7696" t="str">
        <f>"393"</f>
        <v>393</v>
      </c>
      <c r="G7696">
        <v>1</v>
      </c>
      <c r="H7696">
        <v>2023</v>
      </c>
      <c r="I7696" t="s">
        <v>7811</v>
      </c>
    </row>
    <row r="7697" spans="1:9" x14ac:dyDescent="0.3">
      <c r="A7697" t="s">
        <v>10163</v>
      </c>
      <c r="B7697" t="s">
        <v>57</v>
      </c>
      <c r="C7697">
        <v>8989697390</v>
      </c>
      <c r="D7697" s="2">
        <v>1</v>
      </c>
      <c r="E7697" t="str">
        <f>"4574674200897395"</f>
        <v>4574674200897395</v>
      </c>
      <c r="F7697" t="str">
        <f>"594"</f>
        <v>594</v>
      </c>
      <c r="G7697">
        <v>1</v>
      </c>
      <c r="H7697">
        <v>2023</v>
      </c>
      <c r="I7697" t="s">
        <v>7812</v>
      </c>
    </row>
    <row r="7698" spans="1:9" x14ac:dyDescent="0.3">
      <c r="A7698" t="s">
        <v>10163</v>
      </c>
      <c r="B7698" t="s">
        <v>57</v>
      </c>
      <c r="C7698">
        <v>8989697390</v>
      </c>
      <c r="D7698" s="2">
        <v>1</v>
      </c>
      <c r="E7698" t="str">
        <f>"4574674200897411"</f>
        <v>4574674200897411</v>
      </c>
      <c r="F7698" t="str">
        <f>"072"</f>
        <v>072</v>
      </c>
      <c r="G7698">
        <v>1</v>
      </c>
      <c r="H7698">
        <v>2023</v>
      </c>
      <c r="I7698" t="s">
        <v>7813</v>
      </c>
    </row>
    <row r="7699" spans="1:9" x14ac:dyDescent="0.3">
      <c r="A7699" t="s">
        <v>10163</v>
      </c>
      <c r="B7699" t="s">
        <v>57</v>
      </c>
      <c r="C7699">
        <v>8989697390</v>
      </c>
      <c r="D7699" s="2">
        <v>1</v>
      </c>
      <c r="E7699" t="str">
        <f>"4574674200897437"</f>
        <v>4574674200897437</v>
      </c>
      <c r="F7699" t="str">
        <f>"166"</f>
        <v>166</v>
      </c>
      <c r="G7699">
        <v>1</v>
      </c>
      <c r="H7699">
        <v>2023</v>
      </c>
      <c r="I7699" t="s">
        <v>7814</v>
      </c>
    </row>
    <row r="7700" spans="1:9" x14ac:dyDescent="0.3">
      <c r="A7700" t="s">
        <v>10163</v>
      </c>
      <c r="B7700" t="s">
        <v>57</v>
      </c>
      <c r="C7700">
        <v>8989697390</v>
      </c>
      <c r="D7700" s="2">
        <v>1</v>
      </c>
      <c r="E7700" t="str">
        <f>"4574674200897627"</f>
        <v>4574674200897627</v>
      </c>
      <c r="F7700" t="str">
        <f>"002"</f>
        <v>002</v>
      </c>
      <c r="G7700">
        <v>1</v>
      </c>
      <c r="H7700">
        <v>2023</v>
      </c>
      <c r="I7700" t="s">
        <v>7815</v>
      </c>
    </row>
    <row r="7701" spans="1:9" x14ac:dyDescent="0.3">
      <c r="A7701" t="s">
        <v>10163</v>
      </c>
      <c r="B7701" t="s">
        <v>57</v>
      </c>
      <c r="C7701">
        <v>8989697390</v>
      </c>
      <c r="D7701" s="2">
        <v>1</v>
      </c>
      <c r="E7701" t="str">
        <f>"4574674200897619"</f>
        <v>4574674200897619</v>
      </c>
      <c r="F7701" t="str">
        <f>"534"</f>
        <v>534</v>
      </c>
      <c r="G7701">
        <v>1</v>
      </c>
      <c r="H7701">
        <v>2023</v>
      </c>
      <c r="I7701" t="s">
        <v>7816</v>
      </c>
    </row>
    <row r="7702" spans="1:9" x14ac:dyDescent="0.3">
      <c r="A7702" t="s">
        <v>10163</v>
      </c>
      <c r="B7702" t="s">
        <v>57</v>
      </c>
      <c r="C7702">
        <v>8989697390</v>
      </c>
      <c r="D7702" s="2">
        <v>1</v>
      </c>
      <c r="E7702" t="str">
        <f>"4574674200897460"</f>
        <v>4574674200897460</v>
      </c>
      <c r="F7702" t="str">
        <f>"470"</f>
        <v>470</v>
      </c>
      <c r="G7702">
        <v>1</v>
      </c>
      <c r="H7702">
        <v>2023</v>
      </c>
      <c r="I7702" t="s">
        <v>7817</v>
      </c>
    </row>
    <row r="7703" spans="1:9" x14ac:dyDescent="0.3">
      <c r="A7703" t="s">
        <v>10163</v>
      </c>
      <c r="B7703" t="s">
        <v>57</v>
      </c>
      <c r="C7703">
        <v>8989697390</v>
      </c>
      <c r="D7703" s="2">
        <v>1</v>
      </c>
      <c r="E7703" t="str">
        <f>"4574674200897536"</f>
        <v>4574674200897536</v>
      </c>
      <c r="F7703" t="str">
        <f>"556"</f>
        <v>556</v>
      </c>
      <c r="G7703">
        <v>1</v>
      </c>
      <c r="H7703">
        <v>2023</v>
      </c>
      <c r="I7703" t="s">
        <v>7818</v>
      </c>
    </row>
    <row r="7704" spans="1:9" x14ac:dyDescent="0.3">
      <c r="A7704" t="s">
        <v>10163</v>
      </c>
      <c r="B7704" t="s">
        <v>57</v>
      </c>
      <c r="C7704">
        <v>8989697390</v>
      </c>
      <c r="D7704" s="2">
        <v>1</v>
      </c>
      <c r="E7704" t="str">
        <f>"4574674200897551"</f>
        <v>4574674200897551</v>
      </c>
      <c r="F7704" t="str">
        <f>"502"</f>
        <v>502</v>
      </c>
      <c r="G7704">
        <v>1</v>
      </c>
      <c r="H7704">
        <v>2023</v>
      </c>
      <c r="I7704" t="s">
        <v>7819</v>
      </c>
    </row>
    <row r="7705" spans="1:9" x14ac:dyDescent="0.3">
      <c r="A7705" t="s">
        <v>10163</v>
      </c>
      <c r="B7705" t="s">
        <v>57</v>
      </c>
      <c r="C7705">
        <v>8989697390</v>
      </c>
      <c r="D7705" s="2">
        <v>1</v>
      </c>
      <c r="E7705" t="str">
        <f>"4574674200897577"</f>
        <v>4574674200897577</v>
      </c>
      <c r="F7705" t="str">
        <f>"751"</f>
        <v>751</v>
      </c>
      <c r="G7705">
        <v>1</v>
      </c>
      <c r="H7705">
        <v>2023</v>
      </c>
      <c r="I7705" t="s">
        <v>7820</v>
      </c>
    </row>
    <row r="7706" spans="1:9" x14ac:dyDescent="0.3">
      <c r="A7706" t="s">
        <v>10163</v>
      </c>
      <c r="B7706" t="s">
        <v>57</v>
      </c>
      <c r="C7706">
        <v>8989697390</v>
      </c>
      <c r="D7706" s="2">
        <v>1</v>
      </c>
      <c r="E7706" t="str">
        <f>"4574674200897734"</f>
        <v>4574674200897734</v>
      </c>
      <c r="F7706" t="str">
        <f>"097"</f>
        <v>097</v>
      </c>
      <c r="G7706">
        <v>1</v>
      </c>
      <c r="H7706">
        <v>2023</v>
      </c>
      <c r="I7706" t="s">
        <v>7821</v>
      </c>
    </row>
    <row r="7707" spans="1:9" x14ac:dyDescent="0.3">
      <c r="A7707" t="s">
        <v>10173</v>
      </c>
      <c r="B7707" t="s">
        <v>76</v>
      </c>
      <c r="C7707">
        <v>8989697390</v>
      </c>
      <c r="D7707" s="2">
        <v>1</v>
      </c>
      <c r="E7707" t="str">
        <f>"4574674200897759"</f>
        <v>4574674200897759</v>
      </c>
      <c r="F7707" t="str">
        <f>"428"</f>
        <v>428</v>
      </c>
      <c r="G7707">
        <v>1</v>
      </c>
      <c r="H7707">
        <v>2023</v>
      </c>
      <c r="I7707" t="s">
        <v>7822</v>
      </c>
    </row>
    <row r="7708" spans="1:9" x14ac:dyDescent="0.3">
      <c r="A7708" t="s">
        <v>10173</v>
      </c>
      <c r="B7708" t="s">
        <v>76</v>
      </c>
      <c r="C7708">
        <v>8989697390</v>
      </c>
      <c r="D7708" s="2">
        <v>1</v>
      </c>
      <c r="E7708" t="str">
        <f>"4574674200897809"</f>
        <v>4574674200897809</v>
      </c>
      <c r="F7708" t="str">
        <f>"774"</f>
        <v>774</v>
      </c>
      <c r="G7708">
        <v>1</v>
      </c>
      <c r="H7708">
        <v>2023</v>
      </c>
      <c r="I7708" t="s">
        <v>7823</v>
      </c>
    </row>
    <row r="7709" spans="1:9" x14ac:dyDescent="0.3">
      <c r="A7709" t="s">
        <v>10173</v>
      </c>
      <c r="B7709" t="s">
        <v>76</v>
      </c>
      <c r="C7709">
        <v>8989697390</v>
      </c>
      <c r="D7709" s="2">
        <v>1</v>
      </c>
      <c r="E7709" t="str">
        <f>"4574674200897593"</f>
        <v>4574674200897593</v>
      </c>
      <c r="F7709" t="str">
        <f>"810"</f>
        <v>810</v>
      </c>
      <c r="G7709">
        <v>1</v>
      </c>
      <c r="H7709">
        <v>2023</v>
      </c>
      <c r="I7709" t="s">
        <v>7824</v>
      </c>
    </row>
    <row r="7710" spans="1:9" x14ac:dyDescent="0.3">
      <c r="A7710" t="s">
        <v>10173</v>
      </c>
      <c r="B7710" t="s">
        <v>76</v>
      </c>
      <c r="C7710">
        <v>8989697390</v>
      </c>
      <c r="D7710" s="2">
        <v>1</v>
      </c>
      <c r="E7710" t="str">
        <f>"4574674200897908"</f>
        <v>4574674200897908</v>
      </c>
      <c r="F7710" t="str">
        <f>"905"</f>
        <v>905</v>
      </c>
      <c r="G7710">
        <v>1</v>
      </c>
      <c r="H7710">
        <v>2023</v>
      </c>
      <c r="I7710" t="s">
        <v>7825</v>
      </c>
    </row>
    <row r="7711" spans="1:9" x14ac:dyDescent="0.3">
      <c r="A7711" t="s">
        <v>10173</v>
      </c>
      <c r="B7711" t="s">
        <v>76</v>
      </c>
      <c r="C7711">
        <v>8989697390</v>
      </c>
      <c r="D7711" s="2">
        <v>1</v>
      </c>
      <c r="E7711" t="str">
        <f>"4574674200897924"</f>
        <v>4574674200897924</v>
      </c>
      <c r="F7711" t="str">
        <f>"157"</f>
        <v>157</v>
      </c>
      <c r="G7711">
        <v>1</v>
      </c>
      <c r="H7711">
        <v>2023</v>
      </c>
      <c r="I7711" t="s">
        <v>7826</v>
      </c>
    </row>
    <row r="7712" spans="1:9" x14ac:dyDescent="0.3">
      <c r="A7712" t="s">
        <v>10173</v>
      </c>
      <c r="B7712" t="s">
        <v>76</v>
      </c>
      <c r="C7712">
        <v>8989697390</v>
      </c>
      <c r="D7712" s="2">
        <v>1</v>
      </c>
      <c r="E7712" t="str">
        <f>"4574674200898054"</f>
        <v>4574674200898054</v>
      </c>
      <c r="F7712" t="str">
        <f>"704"</f>
        <v>704</v>
      </c>
      <c r="G7712">
        <v>1</v>
      </c>
      <c r="H7712">
        <v>2023</v>
      </c>
      <c r="I7712" t="s">
        <v>7827</v>
      </c>
    </row>
    <row r="7713" spans="1:9" x14ac:dyDescent="0.3">
      <c r="A7713" t="s">
        <v>10173</v>
      </c>
      <c r="B7713" t="s">
        <v>76</v>
      </c>
      <c r="C7713">
        <v>8989697390</v>
      </c>
      <c r="D7713" s="2">
        <v>1</v>
      </c>
      <c r="E7713" t="str">
        <f>"4574674200898070"</f>
        <v>4574674200898070</v>
      </c>
      <c r="F7713" t="str">
        <f>"009"</f>
        <v>009</v>
      </c>
      <c r="G7713">
        <v>1</v>
      </c>
      <c r="H7713">
        <v>2023</v>
      </c>
      <c r="I7713" t="s">
        <v>7828</v>
      </c>
    </row>
    <row r="7714" spans="1:9" x14ac:dyDescent="0.3">
      <c r="A7714" t="s">
        <v>10173</v>
      </c>
      <c r="B7714" t="s">
        <v>76</v>
      </c>
      <c r="C7714">
        <v>8989697390</v>
      </c>
      <c r="D7714" s="2">
        <v>1</v>
      </c>
      <c r="E7714" t="str">
        <f>"4574674200897973"</f>
        <v>4574674200897973</v>
      </c>
      <c r="F7714" t="str">
        <f>"622"</f>
        <v>622</v>
      </c>
      <c r="G7714">
        <v>1</v>
      </c>
      <c r="H7714">
        <v>2023</v>
      </c>
      <c r="I7714" t="s">
        <v>7829</v>
      </c>
    </row>
    <row r="7715" spans="1:9" x14ac:dyDescent="0.3">
      <c r="A7715" t="s">
        <v>10173</v>
      </c>
      <c r="B7715" t="s">
        <v>76</v>
      </c>
      <c r="C7715">
        <v>8989697390</v>
      </c>
      <c r="D7715" s="2">
        <v>1</v>
      </c>
      <c r="E7715" t="str">
        <f>"4574674200898237"</f>
        <v>4574674200898237</v>
      </c>
      <c r="F7715" t="str">
        <f>"147"</f>
        <v>147</v>
      </c>
      <c r="G7715">
        <v>1</v>
      </c>
      <c r="H7715">
        <v>2023</v>
      </c>
      <c r="I7715" t="s">
        <v>7830</v>
      </c>
    </row>
    <row r="7716" spans="1:9" x14ac:dyDescent="0.3">
      <c r="A7716" t="s">
        <v>10173</v>
      </c>
      <c r="B7716" t="s">
        <v>76</v>
      </c>
      <c r="C7716">
        <v>8989697390</v>
      </c>
      <c r="D7716" s="2">
        <v>1</v>
      </c>
      <c r="E7716" t="str">
        <f>"4574674200897965"</f>
        <v>4574674200897965</v>
      </c>
      <c r="F7716" t="str">
        <f>"233"</f>
        <v>233</v>
      </c>
      <c r="G7716">
        <v>1</v>
      </c>
      <c r="H7716">
        <v>2023</v>
      </c>
      <c r="I7716" t="s">
        <v>7831</v>
      </c>
    </row>
    <row r="7717" spans="1:9" x14ac:dyDescent="0.3">
      <c r="A7717" t="s">
        <v>10175</v>
      </c>
      <c r="B7717" t="s">
        <v>78</v>
      </c>
      <c r="C7717">
        <v>8989697390</v>
      </c>
      <c r="D7717" s="2">
        <v>1</v>
      </c>
      <c r="E7717" t="str">
        <f>"4574674200897999"</f>
        <v>4574674200897999</v>
      </c>
      <c r="F7717" t="str">
        <f>"098"</f>
        <v>098</v>
      </c>
      <c r="G7717">
        <v>1</v>
      </c>
      <c r="H7717">
        <v>2023</v>
      </c>
      <c r="I7717" t="s">
        <v>7832</v>
      </c>
    </row>
    <row r="7718" spans="1:9" x14ac:dyDescent="0.3">
      <c r="A7718" t="s">
        <v>10175</v>
      </c>
      <c r="B7718" t="s">
        <v>78</v>
      </c>
      <c r="C7718">
        <v>8989697390</v>
      </c>
      <c r="D7718" s="2">
        <v>1</v>
      </c>
      <c r="E7718" t="str">
        <f>"4574674200898286"</f>
        <v>4574674200898286</v>
      </c>
      <c r="F7718" t="str">
        <f>"289"</f>
        <v>289</v>
      </c>
      <c r="G7718">
        <v>1</v>
      </c>
      <c r="H7718">
        <v>2023</v>
      </c>
      <c r="I7718" t="s">
        <v>7833</v>
      </c>
    </row>
    <row r="7719" spans="1:9" x14ac:dyDescent="0.3">
      <c r="A7719" t="s">
        <v>10175</v>
      </c>
      <c r="B7719" t="s">
        <v>78</v>
      </c>
      <c r="C7719">
        <v>8989697390</v>
      </c>
      <c r="D7719" s="2">
        <v>1</v>
      </c>
      <c r="E7719" t="str">
        <f>"4574674200898120"</f>
        <v>4574674200898120</v>
      </c>
      <c r="F7719" t="str">
        <f>"036"</f>
        <v>036</v>
      </c>
      <c r="G7719">
        <v>1</v>
      </c>
      <c r="H7719">
        <v>2023</v>
      </c>
      <c r="I7719" t="s">
        <v>7834</v>
      </c>
    </row>
    <row r="7720" spans="1:9" x14ac:dyDescent="0.3">
      <c r="A7720" t="s">
        <v>10175</v>
      </c>
      <c r="B7720" t="s">
        <v>78</v>
      </c>
      <c r="C7720">
        <v>8989697390</v>
      </c>
      <c r="D7720" s="2">
        <v>1</v>
      </c>
      <c r="E7720" t="str">
        <f>"4574674200898153"</f>
        <v>4574674200898153</v>
      </c>
      <c r="F7720" t="str">
        <f>"936"</f>
        <v>936</v>
      </c>
      <c r="G7720">
        <v>1</v>
      </c>
      <c r="H7720">
        <v>2023</v>
      </c>
      <c r="I7720" t="s">
        <v>7835</v>
      </c>
    </row>
    <row r="7721" spans="1:9" x14ac:dyDescent="0.3">
      <c r="A7721" t="s">
        <v>10175</v>
      </c>
      <c r="B7721" t="s">
        <v>78</v>
      </c>
      <c r="C7721">
        <v>8989697390</v>
      </c>
      <c r="D7721" s="2">
        <v>1</v>
      </c>
      <c r="E7721" t="str">
        <f>"4574674200898369"</f>
        <v>4574674200898369</v>
      </c>
      <c r="F7721" t="str">
        <f>"549"</f>
        <v>549</v>
      </c>
      <c r="G7721">
        <v>1</v>
      </c>
      <c r="H7721">
        <v>2023</v>
      </c>
      <c r="I7721" t="s">
        <v>7836</v>
      </c>
    </row>
    <row r="7722" spans="1:9" x14ac:dyDescent="0.3">
      <c r="A7722" t="s">
        <v>10175</v>
      </c>
      <c r="B7722" t="s">
        <v>78</v>
      </c>
      <c r="C7722">
        <v>8989697390</v>
      </c>
      <c r="D7722" s="2">
        <v>1</v>
      </c>
      <c r="E7722" t="str">
        <f>"4574674200898427"</f>
        <v>4574674200898427</v>
      </c>
      <c r="F7722" t="str">
        <f>"809"</f>
        <v>809</v>
      </c>
      <c r="G7722">
        <v>1</v>
      </c>
      <c r="H7722">
        <v>2023</v>
      </c>
      <c r="I7722" t="s">
        <v>7837</v>
      </c>
    </row>
    <row r="7723" spans="1:9" x14ac:dyDescent="0.3">
      <c r="A7723" t="s">
        <v>10175</v>
      </c>
      <c r="B7723" t="s">
        <v>78</v>
      </c>
      <c r="C7723">
        <v>8989697390</v>
      </c>
      <c r="D7723" s="2">
        <v>1</v>
      </c>
      <c r="E7723" t="str">
        <f>"4574674200898401"</f>
        <v>4574674200898401</v>
      </c>
      <c r="F7723" t="str">
        <f>"207"</f>
        <v>207</v>
      </c>
      <c r="G7723">
        <v>1</v>
      </c>
      <c r="H7723">
        <v>2023</v>
      </c>
      <c r="I7723" t="s">
        <v>7838</v>
      </c>
    </row>
    <row r="7724" spans="1:9" x14ac:dyDescent="0.3">
      <c r="A7724" t="s">
        <v>10175</v>
      </c>
      <c r="B7724" t="s">
        <v>78</v>
      </c>
      <c r="C7724">
        <v>8989697390</v>
      </c>
      <c r="D7724" s="2">
        <v>1</v>
      </c>
      <c r="E7724" t="str">
        <f>"4574674200898435"</f>
        <v>4574674200898435</v>
      </c>
      <c r="F7724" t="str">
        <f>"374"</f>
        <v>374</v>
      </c>
      <c r="G7724">
        <v>1</v>
      </c>
      <c r="H7724">
        <v>2023</v>
      </c>
      <c r="I7724" t="s">
        <v>7839</v>
      </c>
    </row>
    <row r="7725" spans="1:9" x14ac:dyDescent="0.3">
      <c r="A7725" t="s">
        <v>10175</v>
      </c>
      <c r="B7725" t="s">
        <v>78</v>
      </c>
      <c r="C7725">
        <v>8989697390</v>
      </c>
      <c r="D7725" s="2">
        <v>1</v>
      </c>
      <c r="E7725" t="str">
        <f>"4574674200898393"</f>
        <v>4574674200898393</v>
      </c>
      <c r="F7725" t="str">
        <f>"740"</f>
        <v>740</v>
      </c>
      <c r="G7725">
        <v>1</v>
      </c>
      <c r="H7725">
        <v>2023</v>
      </c>
      <c r="I7725" t="s">
        <v>7840</v>
      </c>
    </row>
    <row r="7726" spans="1:9" x14ac:dyDescent="0.3">
      <c r="A7726" t="s">
        <v>10175</v>
      </c>
      <c r="B7726" t="s">
        <v>78</v>
      </c>
      <c r="C7726">
        <v>8989697390</v>
      </c>
      <c r="D7726" s="2">
        <v>1</v>
      </c>
      <c r="E7726" t="str">
        <f>"4574674200898641"</f>
        <v>4574674200898641</v>
      </c>
      <c r="F7726" t="str">
        <f>"507"</f>
        <v>507</v>
      </c>
      <c r="G7726">
        <v>1</v>
      </c>
      <c r="H7726">
        <v>2023</v>
      </c>
      <c r="I7726" t="s">
        <v>7841</v>
      </c>
    </row>
    <row r="7727" spans="1:9" x14ac:dyDescent="0.3">
      <c r="A7727" t="s">
        <v>10168</v>
      </c>
      <c r="B7727" t="s">
        <v>69</v>
      </c>
      <c r="C7727">
        <v>8989697390</v>
      </c>
      <c r="D7727" s="2">
        <v>1</v>
      </c>
      <c r="E7727" t="str">
        <f>"4574674200898674"</f>
        <v>4574674200898674</v>
      </c>
      <c r="F7727" t="str">
        <f>"505"</f>
        <v>505</v>
      </c>
      <c r="G7727">
        <v>1</v>
      </c>
      <c r="H7727">
        <v>2023</v>
      </c>
      <c r="I7727" t="s">
        <v>7842</v>
      </c>
    </row>
    <row r="7728" spans="1:9" x14ac:dyDescent="0.3">
      <c r="A7728" t="s">
        <v>10168</v>
      </c>
      <c r="B7728" t="s">
        <v>69</v>
      </c>
      <c r="C7728">
        <v>8989697390</v>
      </c>
      <c r="D7728" s="2">
        <v>1</v>
      </c>
      <c r="E7728" t="str">
        <f>"4574674200898484"</f>
        <v>4574674200898484</v>
      </c>
      <c r="F7728" t="str">
        <f>"638"</f>
        <v>638</v>
      </c>
      <c r="G7728">
        <v>1</v>
      </c>
      <c r="H7728">
        <v>2023</v>
      </c>
      <c r="I7728" t="s">
        <v>7843</v>
      </c>
    </row>
    <row r="7729" spans="1:9" x14ac:dyDescent="0.3">
      <c r="A7729" t="s">
        <v>10168</v>
      </c>
      <c r="B7729" t="s">
        <v>69</v>
      </c>
      <c r="C7729">
        <v>8989697390</v>
      </c>
      <c r="D7729" s="2">
        <v>1</v>
      </c>
      <c r="E7729" t="str">
        <f>"4574674200898559"</f>
        <v>4574674200898559</v>
      </c>
      <c r="F7729" t="str">
        <f>"278"</f>
        <v>278</v>
      </c>
      <c r="G7729">
        <v>1</v>
      </c>
      <c r="H7729">
        <v>2023</v>
      </c>
      <c r="I7729" t="s">
        <v>7844</v>
      </c>
    </row>
    <row r="7730" spans="1:9" x14ac:dyDescent="0.3">
      <c r="A7730" t="s">
        <v>10168</v>
      </c>
      <c r="B7730" t="s">
        <v>69</v>
      </c>
      <c r="C7730">
        <v>8989697390</v>
      </c>
      <c r="D7730" s="2">
        <v>1</v>
      </c>
      <c r="E7730" t="str">
        <f>"4574674200898575"</f>
        <v>4574674200898575</v>
      </c>
      <c r="F7730" t="str">
        <f>"134"</f>
        <v>134</v>
      </c>
      <c r="G7730">
        <v>1</v>
      </c>
      <c r="H7730">
        <v>2023</v>
      </c>
      <c r="I7730" t="s">
        <v>7845</v>
      </c>
    </row>
    <row r="7731" spans="1:9" x14ac:dyDescent="0.3">
      <c r="A7731" t="s">
        <v>10168</v>
      </c>
      <c r="B7731" t="s">
        <v>69</v>
      </c>
      <c r="C7731">
        <v>8989697390</v>
      </c>
      <c r="D7731" s="2">
        <v>1</v>
      </c>
      <c r="E7731" t="str">
        <f>"4574674200898500"</f>
        <v>4574674200898500</v>
      </c>
      <c r="F7731" t="str">
        <f>"867"</f>
        <v>867</v>
      </c>
      <c r="G7731">
        <v>1</v>
      </c>
      <c r="H7731">
        <v>2023</v>
      </c>
      <c r="I7731" t="s">
        <v>7846</v>
      </c>
    </row>
    <row r="7732" spans="1:9" x14ac:dyDescent="0.3">
      <c r="A7732" t="s">
        <v>10168</v>
      </c>
      <c r="B7732" t="s">
        <v>69</v>
      </c>
      <c r="C7732">
        <v>8989697390</v>
      </c>
      <c r="D7732" s="2">
        <v>1</v>
      </c>
      <c r="E7732" t="str">
        <f>"4574674200898583"</f>
        <v>4574674200898583</v>
      </c>
      <c r="F7732" t="str">
        <f>"782"</f>
        <v>782</v>
      </c>
      <c r="G7732">
        <v>1</v>
      </c>
      <c r="H7732">
        <v>2023</v>
      </c>
      <c r="I7732" t="s">
        <v>7847</v>
      </c>
    </row>
    <row r="7733" spans="1:9" x14ac:dyDescent="0.3">
      <c r="A7733" t="s">
        <v>10168</v>
      </c>
      <c r="B7733" t="s">
        <v>69</v>
      </c>
      <c r="C7733">
        <v>8989697390</v>
      </c>
      <c r="D7733" s="2">
        <v>1</v>
      </c>
      <c r="E7733" t="str">
        <f>"4574674200898757"</f>
        <v>4574674200898757</v>
      </c>
      <c r="F7733" t="str">
        <f>"434"</f>
        <v>434</v>
      </c>
      <c r="G7733">
        <v>1</v>
      </c>
      <c r="H7733">
        <v>2023</v>
      </c>
      <c r="I7733" t="s">
        <v>7848</v>
      </c>
    </row>
    <row r="7734" spans="1:9" x14ac:dyDescent="0.3">
      <c r="A7734" t="s">
        <v>10168</v>
      </c>
      <c r="B7734" t="s">
        <v>69</v>
      </c>
      <c r="C7734">
        <v>8989697390</v>
      </c>
      <c r="D7734" s="2">
        <v>1</v>
      </c>
      <c r="E7734" t="str">
        <f>"4574674200898732"</f>
        <v>4574674200898732</v>
      </c>
      <c r="F7734" t="str">
        <f>"816"</f>
        <v>816</v>
      </c>
      <c r="G7734">
        <v>1</v>
      </c>
      <c r="H7734">
        <v>2023</v>
      </c>
      <c r="I7734" t="s">
        <v>7849</v>
      </c>
    </row>
    <row r="7735" spans="1:9" x14ac:dyDescent="0.3">
      <c r="A7735" t="s">
        <v>10168</v>
      </c>
      <c r="B7735" t="s">
        <v>69</v>
      </c>
      <c r="C7735">
        <v>8989697390</v>
      </c>
      <c r="D7735" s="2">
        <v>1</v>
      </c>
      <c r="E7735" t="str">
        <f>"4574674200898864"</f>
        <v>4574674200898864</v>
      </c>
      <c r="F7735" t="str">
        <f>"989"</f>
        <v>989</v>
      </c>
      <c r="G7735">
        <v>1</v>
      </c>
      <c r="H7735">
        <v>2023</v>
      </c>
      <c r="I7735" t="s">
        <v>7850</v>
      </c>
    </row>
    <row r="7736" spans="1:9" x14ac:dyDescent="0.3">
      <c r="A7736" t="s">
        <v>10168</v>
      </c>
      <c r="B7736" t="s">
        <v>69</v>
      </c>
      <c r="C7736">
        <v>8989697390</v>
      </c>
      <c r="D7736" s="2">
        <v>1</v>
      </c>
      <c r="E7736" t="str">
        <f>"4574674200898831"</f>
        <v>4574674200898831</v>
      </c>
      <c r="F7736" t="str">
        <f>"459"</f>
        <v>459</v>
      </c>
      <c r="G7736">
        <v>1</v>
      </c>
      <c r="H7736">
        <v>2023</v>
      </c>
      <c r="I7736" t="s">
        <v>7851</v>
      </c>
    </row>
    <row r="7737" spans="1:9" x14ac:dyDescent="0.3">
      <c r="A7737" t="s">
        <v>10124</v>
      </c>
      <c r="B7737" t="s">
        <v>79</v>
      </c>
      <c r="C7737">
        <v>8989697390</v>
      </c>
      <c r="D7737" s="2">
        <v>1</v>
      </c>
      <c r="E7737" t="str">
        <f>"4574674200898880"</f>
        <v>4574674200898880</v>
      </c>
      <c r="F7737" t="str">
        <f>"697"</f>
        <v>697</v>
      </c>
      <c r="G7737">
        <v>1</v>
      </c>
      <c r="H7737">
        <v>2023</v>
      </c>
      <c r="I7737" t="s">
        <v>7852</v>
      </c>
    </row>
    <row r="7738" spans="1:9" x14ac:dyDescent="0.3">
      <c r="A7738" t="s">
        <v>10124</v>
      </c>
      <c r="B7738" t="s">
        <v>79</v>
      </c>
      <c r="C7738">
        <v>8989697390</v>
      </c>
      <c r="D7738" s="2">
        <v>1</v>
      </c>
      <c r="E7738" t="str">
        <f>"4574674200898948"</f>
        <v>4574674200898948</v>
      </c>
      <c r="F7738" t="str">
        <f>"517"</f>
        <v>517</v>
      </c>
      <c r="G7738">
        <v>1</v>
      </c>
      <c r="H7738">
        <v>2023</v>
      </c>
      <c r="I7738" t="s">
        <v>7853</v>
      </c>
    </row>
    <row r="7739" spans="1:9" x14ac:dyDescent="0.3">
      <c r="A7739" t="s">
        <v>10124</v>
      </c>
      <c r="B7739" t="s">
        <v>79</v>
      </c>
      <c r="C7739">
        <v>8989697390</v>
      </c>
      <c r="D7739" s="2">
        <v>1</v>
      </c>
      <c r="E7739" t="str">
        <f>"4574674200898930"</f>
        <v>4574674200898930</v>
      </c>
      <c r="F7739" t="str">
        <f>"900"</f>
        <v>900</v>
      </c>
      <c r="G7739">
        <v>1</v>
      </c>
      <c r="H7739">
        <v>2023</v>
      </c>
      <c r="I7739" t="s">
        <v>7854</v>
      </c>
    </row>
    <row r="7740" spans="1:9" x14ac:dyDescent="0.3">
      <c r="A7740" t="s">
        <v>10124</v>
      </c>
      <c r="B7740" t="s">
        <v>79</v>
      </c>
      <c r="C7740">
        <v>8989697390</v>
      </c>
      <c r="D7740" s="2">
        <v>1</v>
      </c>
      <c r="E7740" t="str">
        <f>"4574674200899052"</f>
        <v>4574674200899052</v>
      </c>
      <c r="F7740" t="str">
        <f>"932"</f>
        <v>932</v>
      </c>
      <c r="G7740">
        <v>1</v>
      </c>
      <c r="H7740">
        <v>2023</v>
      </c>
      <c r="I7740" t="s">
        <v>7855</v>
      </c>
    </row>
    <row r="7741" spans="1:9" x14ac:dyDescent="0.3">
      <c r="A7741" t="s">
        <v>10124</v>
      </c>
      <c r="B7741" t="s">
        <v>79</v>
      </c>
      <c r="C7741">
        <v>8989697390</v>
      </c>
      <c r="D7741" s="2">
        <v>1</v>
      </c>
      <c r="E7741" t="str">
        <f>"4574674200899128"</f>
        <v>4574674200899128</v>
      </c>
      <c r="F7741" t="str">
        <f>"682"</f>
        <v>682</v>
      </c>
      <c r="G7741">
        <v>1</v>
      </c>
      <c r="H7741">
        <v>2023</v>
      </c>
      <c r="I7741" t="s">
        <v>7856</v>
      </c>
    </row>
    <row r="7742" spans="1:9" x14ac:dyDescent="0.3">
      <c r="A7742" t="s">
        <v>10124</v>
      </c>
      <c r="B7742" t="s">
        <v>79</v>
      </c>
      <c r="C7742">
        <v>8989697390</v>
      </c>
      <c r="D7742" s="2">
        <v>1</v>
      </c>
      <c r="E7742" t="str">
        <f>"4574674200898971"</f>
        <v>4574674200898971</v>
      </c>
      <c r="F7742" t="str">
        <f>"896"</f>
        <v>896</v>
      </c>
      <c r="G7742">
        <v>1</v>
      </c>
      <c r="H7742">
        <v>2023</v>
      </c>
      <c r="I7742" t="s">
        <v>7857</v>
      </c>
    </row>
    <row r="7743" spans="1:9" x14ac:dyDescent="0.3">
      <c r="A7743" t="s">
        <v>10124</v>
      </c>
      <c r="B7743" t="s">
        <v>79</v>
      </c>
      <c r="C7743">
        <v>8989697390</v>
      </c>
      <c r="D7743" s="2">
        <v>1</v>
      </c>
      <c r="E7743" t="str">
        <f>"4574674200899201"</f>
        <v>4574674200899201</v>
      </c>
      <c r="F7743" t="str">
        <f>"725"</f>
        <v>725</v>
      </c>
      <c r="G7743">
        <v>1</v>
      </c>
      <c r="H7743">
        <v>2023</v>
      </c>
      <c r="I7743" t="s">
        <v>7858</v>
      </c>
    </row>
    <row r="7744" spans="1:9" x14ac:dyDescent="0.3">
      <c r="A7744" t="s">
        <v>10124</v>
      </c>
      <c r="B7744" t="s">
        <v>79</v>
      </c>
      <c r="C7744">
        <v>8989697390</v>
      </c>
      <c r="D7744" s="2">
        <v>1</v>
      </c>
      <c r="E7744" t="str">
        <f>"4574674200899276"</f>
        <v>4574674200899276</v>
      </c>
      <c r="F7744" t="str">
        <f>"030"</f>
        <v>030</v>
      </c>
      <c r="G7744">
        <v>1</v>
      </c>
      <c r="H7744">
        <v>2023</v>
      </c>
      <c r="I7744" t="s">
        <v>7859</v>
      </c>
    </row>
    <row r="7745" spans="1:9" x14ac:dyDescent="0.3">
      <c r="A7745" t="s">
        <v>10124</v>
      </c>
      <c r="B7745" t="s">
        <v>79</v>
      </c>
      <c r="C7745">
        <v>8989697390</v>
      </c>
      <c r="D7745" s="2">
        <v>1</v>
      </c>
      <c r="E7745" t="str">
        <f>"4574674200899326"</f>
        <v>4574674200899326</v>
      </c>
      <c r="F7745" t="str">
        <f>"928"</f>
        <v>928</v>
      </c>
      <c r="G7745">
        <v>1</v>
      </c>
      <c r="H7745">
        <v>2023</v>
      </c>
      <c r="I7745" t="s">
        <v>7860</v>
      </c>
    </row>
    <row r="7746" spans="1:9" x14ac:dyDescent="0.3">
      <c r="A7746" t="s">
        <v>10124</v>
      </c>
      <c r="B7746" t="s">
        <v>79</v>
      </c>
      <c r="C7746">
        <v>8989697390</v>
      </c>
      <c r="D7746" s="2">
        <v>1</v>
      </c>
      <c r="E7746" t="str">
        <f>"4574674200899318"</f>
        <v>4574674200899318</v>
      </c>
      <c r="F7746" t="str">
        <f>"257"</f>
        <v>257</v>
      </c>
      <c r="G7746">
        <v>1</v>
      </c>
      <c r="H7746">
        <v>2023</v>
      </c>
      <c r="I7746" t="s">
        <v>7861</v>
      </c>
    </row>
    <row r="7747" spans="1:9" x14ac:dyDescent="0.3">
      <c r="A7747" t="s">
        <v>10125</v>
      </c>
      <c r="B7747" t="s">
        <v>80</v>
      </c>
      <c r="C7747">
        <v>8989697390</v>
      </c>
      <c r="D7747" s="2">
        <v>1</v>
      </c>
      <c r="E7747" t="str">
        <f>"4574674200899177"</f>
        <v>4574674200899177</v>
      </c>
      <c r="F7747" t="str">
        <f>"319"</f>
        <v>319</v>
      </c>
      <c r="G7747">
        <v>1</v>
      </c>
      <c r="H7747">
        <v>2023</v>
      </c>
      <c r="I7747" t="s">
        <v>7862</v>
      </c>
    </row>
    <row r="7748" spans="1:9" x14ac:dyDescent="0.3">
      <c r="A7748" t="s">
        <v>10125</v>
      </c>
      <c r="B7748" t="s">
        <v>80</v>
      </c>
      <c r="C7748">
        <v>8989697390</v>
      </c>
      <c r="D7748" s="2">
        <v>1</v>
      </c>
      <c r="E7748" t="str">
        <f>"4574674200899334"</f>
        <v>4574674200899334</v>
      </c>
      <c r="F7748" t="str">
        <f>"101"</f>
        <v>101</v>
      </c>
      <c r="G7748">
        <v>1</v>
      </c>
      <c r="H7748">
        <v>2023</v>
      </c>
      <c r="I7748" t="s">
        <v>7863</v>
      </c>
    </row>
    <row r="7749" spans="1:9" x14ac:dyDescent="0.3">
      <c r="A7749" t="s">
        <v>10125</v>
      </c>
      <c r="B7749" t="s">
        <v>80</v>
      </c>
      <c r="C7749">
        <v>8989697390</v>
      </c>
      <c r="D7749" s="2">
        <v>1</v>
      </c>
      <c r="E7749" t="str">
        <f>"4574674200899391"</f>
        <v>4574674200899391</v>
      </c>
      <c r="F7749" t="str">
        <f>"577"</f>
        <v>577</v>
      </c>
      <c r="G7749">
        <v>1</v>
      </c>
      <c r="H7749">
        <v>2023</v>
      </c>
      <c r="I7749" t="s">
        <v>7864</v>
      </c>
    </row>
    <row r="7750" spans="1:9" x14ac:dyDescent="0.3">
      <c r="A7750" t="s">
        <v>10125</v>
      </c>
      <c r="B7750" t="s">
        <v>80</v>
      </c>
      <c r="C7750">
        <v>8989697390</v>
      </c>
      <c r="D7750" s="2">
        <v>1</v>
      </c>
      <c r="E7750" t="str">
        <f>"4574674200899425"</f>
        <v>4574674200899425</v>
      </c>
      <c r="F7750" t="str">
        <f>"828"</f>
        <v>828</v>
      </c>
      <c r="G7750">
        <v>1</v>
      </c>
      <c r="H7750">
        <v>2023</v>
      </c>
      <c r="I7750" t="s">
        <v>7865</v>
      </c>
    </row>
    <row r="7751" spans="1:9" x14ac:dyDescent="0.3">
      <c r="A7751" t="s">
        <v>10125</v>
      </c>
      <c r="B7751" t="s">
        <v>80</v>
      </c>
      <c r="C7751">
        <v>8989697390</v>
      </c>
      <c r="D7751" s="2">
        <v>1</v>
      </c>
      <c r="E7751" t="str">
        <f>"4574674200899656"</f>
        <v>4574674200899656</v>
      </c>
      <c r="F7751" t="str">
        <f>"452"</f>
        <v>452</v>
      </c>
      <c r="G7751">
        <v>1</v>
      </c>
      <c r="H7751">
        <v>2023</v>
      </c>
      <c r="I7751" t="s">
        <v>7866</v>
      </c>
    </row>
    <row r="7752" spans="1:9" x14ac:dyDescent="0.3">
      <c r="A7752" t="s">
        <v>10125</v>
      </c>
      <c r="B7752" t="s">
        <v>80</v>
      </c>
      <c r="C7752">
        <v>8989697390</v>
      </c>
      <c r="D7752" s="2">
        <v>1</v>
      </c>
      <c r="E7752" t="str">
        <f>"4574674200899482"</f>
        <v>4574674200899482</v>
      </c>
      <c r="F7752" t="str">
        <f>"148"</f>
        <v>148</v>
      </c>
      <c r="G7752">
        <v>1</v>
      </c>
      <c r="H7752">
        <v>2023</v>
      </c>
      <c r="I7752" t="s">
        <v>7867</v>
      </c>
    </row>
    <row r="7753" spans="1:9" x14ac:dyDescent="0.3">
      <c r="A7753" t="s">
        <v>10125</v>
      </c>
      <c r="B7753" t="s">
        <v>80</v>
      </c>
      <c r="C7753">
        <v>8989697390</v>
      </c>
      <c r="D7753" s="2">
        <v>1</v>
      </c>
      <c r="E7753" t="str">
        <f>"4574674200899698"</f>
        <v>4574674200899698</v>
      </c>
      <c r="F7753" t="str">
        <f>"005"</f>
        <v>005</v>
      </c>
      <c r="G7753">
        <v>1</v>
      </c>
      <c r="H7753">
        <v>2023</v>
      </c>
      <c r="I7753" t="s">
        <v>7868</v>
      </c>
    </row>
    <row r="7754" spans="1:9" x14ac:dyDescent="0.3">
      <c r="A7754" t="s">
        <v>10125</v>
      </c>
      <c r="B7754" t="s">
        <v>80</v>
      </c>
      <c r="C7754">
        <v>8989697390</v>
      </c>
      <c r="D7754" s="2">
        <v>1</v>
      </c>
      <c r="E7754" t="str">
        <f>"4574674200899508"</f>
        <v>4574674200899508</v>
      </c>
      <c r="F7754" t="str">
        <f>"414"</f>
        <v>414</v>
      </c>
      <c r="G7754">
        <v>1</v>
      </c>
      <c r="H7754">
        <v>2023</v>
      </c>
      <c r="I7754" t="s">
        <v>7869</v>
      </c>
    </row>
    <row r="7755" spans="1:9" x14ac:dyDescent="0.3">
      <c r="A7755" t="s">
        <v>10125</v>
      </c>
      <c r="B7755" t="s">
        <v>80</v>
      </c>
      <c r="C7755">
        <v>8989697390</v>
      </c>
      <c r="D7755" s="2">
        <v>1</v>
      </c>
      <c r="E7755" t="str">
        <f>"4574674200899540"</f>
        <v>4574674200899540</v>
      </c>
      <c r="F7755" t="str">
        <f>"039"</f>
        <v>039</v>
      </c>
      <c r="G7755">
        <v>1</v>
      </c>
      <c r="H7755">
        <v>2023</v>
      </c>
      <c r="I7755" t="s">
        <v>7870</v>
      </c>
    </row>
    <row r="7756" spans="1:9" x14ac:dyDescent="0.3">
      <c r="A7756" t="s">
        <v>10125</v>
      </c>
      <c r="B7756" t="s">
        <v>80</v>
      </c>
      <c r="C7756">
        <v>8989697390</v>
      </c>
      <c r="D7756" s="2">
        <v>1</v>
      </c>
      <c r="E7756" t="str">
        <f>"4574674200899599"</f>
        <v>4574674200899599</v>
      </c>
      <c r="F7756" t="str">
        <f>"865"</f>
        <v>865</v>
      </c>
      <c r="G7756">
        <v>1</v>
      </c>
      <c r="H7756">
        <v>2023</v>
      </c>
      <c r="I7756" t="s">
        <v>7871</v>
      </c>
    </row>
    <row r="7757" spans="1:9" x14ac:dyDescent="0.3">
      <c r="A7757" t="s">
        <v>10163</v>
      </c>
      <c r="B7757" t="s">
        <v>57</v>
      </c>
      <c r="C7757">
        <v>8989697390</v>
      </c>
      <c r="D7757" s="2">
        <v>1</v>
      </c>
      <c r="E7757" t="str">
        <f>"4574674200899813"</f>
        <v>4574674200899813</v>
      </c>
      <c r="F7757" t="str">
        <f>"185"</f>
        <v>185</v>
      </c>
      <c r="G7757">
        <v>1</v>
      </c>
      <c r="H7757">
        <v>2023</v>
      </c>
      <c r="I7757" t="s">
        <v>7872</v>
      </c>
    </row>
    <row r="7758" spans="1:9" x14ac:dyDescent="0.3">
      <c r="A7758" t="s">
        <v>10163</v>
      </c>
      <c r="B7758" t="s">
        <v>57</v>
      </c>
      <c r="C7758">
        <v>8989697390</v>
      </c>
      <c r="D7758" s="2">
        <v>1</v>
      </c>
      <c r="E7758" t="str">
        <f>"4574674200899755"</f>
        <v>4574674200899755</v>
      </c>
      <c r="F7758" t="str">
        <f>"008"</f>
        <v>008</v>
      </c>
      <c r="G7758">
        <v>1</v>
      </c>
      <c r="H7758">
        <v>2023</v>
      </c>
      <c r="I7758" t="s">
        <v>7873</v>
      </c>
    </row>
    <row r="7759" spans="1:9" x14ac:dyDescent="0.3">
      <c r="A7759" t="s">
        <v>10163</v>
      </c>
      <c r="B7759" t="s">
        <v>57</v>
      </c>
      <c r="C7759">
        <v>8989697390</v>
      </c>
      <c r="D7759" s="2">
        <v>1</v>
      </c>
      <c r="E7759" t="str">
        <f>"4574674200899789"</f>
        <v>4574674200899789</v>
      </c>
      <c r="F7759" t="str">
        <f>"726"</f>
        <v>726</v>
      </c>
      <c r="G7759">
        <v>1</v>
      </c>
      <c r="H7759">
        <v>2023</v>
      </c>
      <c r="I7759" t="s">
        <v>7874</v>
      </c>
    </row>
    <row r="7760" spans="1:9" x14ac:dyDescent="0.3">
      <c r="A7760" t="s">
        <v>10163</v>
      </c>
      <c r="B7760" t="s">
        <v>57</v>
      </c>
      <c r="C7760">
        <v>8989697390</v>
      </c>
      <c r="D7760" s="2">
        <v>1</v>
      </c>
      <c r="E7760" t="str">
        <f>"4574674200900041"</f>
        <v>4574674200900041</v>
      </c>
      <c r="F7760" t="str">
        <f>"818"</f>
        <v>818</v>
      </c>
      <c r="G7760">
        <v>1</v>
      </c>
      <c r="H7760">
        <v>2023</v>
      </c>
      <c r="I7760" t="s">
        <v>7875</v>
      </c>
    </row>
    <row r="7761" spans="1:9" x14ac:dyDescent="0.3">
      <c r="A7761" t="s">
        <v>10163</v>
      </c>
      <c r="B7761" t="s">
        <v>57</v>
      </c>
      <c r="C7761">
        <v>8989697390</v>
      </c>
      <c r="D7761" s="2">
        <v>1</v>
      </c>
      <c r="E7761" t="str">
        <f>"4574674200899979"</f>
        <v>4574674200899979</v>
      </c>
      <c r="F7761" t="str">
        <f>"856"</f>
        <v>856</v>
      </c>
      <c r="G7761">
        <v>1</v>
      </c>
      <c r="H7761">
        <v>2023</v>
      </c>
      <c r="I7761" t="s">
        <v>7876</v>
      </c>
    </row>
    <row r="7762" spans="1:9" x14ac:dyDescent="0.3">
      <c r="A7762" t="s">
        <v>10163</v>
      </c>
      <c r="B7762" t="s">
        <v>57</v>
      </c>
      <c r="C7762">
        <v>8989697390</v>
      </c>
      <c r="D7762" s="2">
        <v>1</v>
      </c>
      <c r="E7762" t="str">
        <f>"4574674200899953"</f>
        <v>4574674200899953</v>
      </c>
      <c r="F7762" t="str">
        <f>"093"</f>
        <v>093</v>
      </c>
      <c r="G7762">
        <v>1</v>
      </c>
      <c r="H7762">
        <v>2023</v>
      </c>
      <c r="I7762" t="s">
        <v>7877</v>
      </c>
    </row>
    <row r="7763" spans="1:9" x14ac:dyDescent="0.3">
      <c r="A7763" t="s">
        <v>10163</v>
      </c>
      <c r="B7763" t="s">
        <v>57</v>
      </c>
      <c r="C7763">
        <v>8989697390</v>
      </c>
      <c r="D7763" s="2">
        <v>1</v>
      </c>
      <c r="E7763" t="str">
        <f>"4574674200899987"</f>
        <v>4574674200899987</v>
      </c>
      <c r="F7763" t="str">
        <f>"849"</f>
        <v>849</v>
      </c>
      <c r="G7763">
        <v>1</v>
      </c>
      <c r="H7763">
        <v>2023</v>
      </c>
      <c r="I7763" t="s">
        <v>7878</v>
      </c>
    </row>
    <row r="7764" spans="1:9" x14ac:dyDescent="0.3">
      <c r="A7764" t="s">
        <v>10163</v>
      </c>
      <c r="B7764" t="s">
        <v>57</v>
      </c>
      <c r="C7764">
        <v>8989697390</v>
      </c>
      <c r="D7764" s="2">
        <v>1</v>
      </c>
      <c r="E7764" t="str">
        <f>"4574674200900140"</f>
        <v>4574674200900140</v>
      </c>
      <c r="F7764" t="str">
        <f>"856"</f>
        <v>856</v>
      </c>
      <c r="G7764">
        <v>1</v>
      </c>
      <c r="H7764">
        <v>2023</v>
      </c>
      <c r="I7764" t="s">
        <v>7879</v>
      </c>
    </row>
    <row r="7765" spans="1:9" x14ac:dyDescent="0.3">
      <c r="A7765" t="s">
        <v>10163</v>
      </c>
      <c r="B7765" t="s">
        <v>57</v>
      </c>
      <c r="C7765">
        <v>8989697390</v>
      </c>
      <c r="D7765" s="2">
        <v>1</v>
      </c>
      <c r="E7765" t="str">
        <f>"4574674200900173"</f>
        <v>4574674200900173</v>
      </c>
      <c r="F7765" t="str">
        <f>"502"</f>
        <v>502</v>
      </c>
      <c r="G7765">
        <v>1</v>
      </c>
      <c r="H7765">
        <v>2023</v>
      </c>
      <c r="I7765" t="s">
        <v>7880</v>
      </c>
    </row>
    <row r="7766" spans="1:9" x14ac:dyDescent="0.3">
      <c r="A7766" t="s">
        <v>10163</v>
      </c>
      <c r="B7766" t="s">
        <v>57</v>
      </c>
      <c r="C7766">
        <v>8989697390</v>
      </c>
      <c r="D7766" s="2">
        <v>1</v>
      </c>
      <c r="E7766" t="str">
        <f>"4574674200900330"</f>
        <v>4574674200900330</v>
      </c>
      <c r="F7766" t="str">
        <f>"305"</f>
        <v>305</v>
      </c>
      <c r="G7766">
        <v>1</v>
      </c>
      <c r="H7766">
        <v>2023</v>
      </c>
      <c r="I7766" t="s">
        <v>7881</v>
      </c>
    </row>
    <row r="7767" spans="1:9" x14ac:dyDescent="0.3">
      <c r="A7767" t="s">
        <v>10164</v>
      </c>
      <c r="B7767" t="s">
        <v>58</v>
      </c>
      <c r="C7767">
        <v>8989697390</v>
      </c>
      <c r="D7767" s="2">
        <v>1</v>
      </c>
      <c r="E7767" t="str">
        <f>"4574674200900355"</f>
        <v>4574674200900355</v>
      </c>
      <c r="F7767" t="str">
        <f>"334"</f>
        <v>334</v>
      </c>
      <c r="G7767">
        <v>1</v>
      </c>
      <c r="H7767">
        <v>2023</v>
      </c>
      <c r="I7767" t="s">
        <v>7882</v>
      </c>
    </row>
    <row r="7768" spans="1:9" x14ac:dyDescent="0.3">
      <c r="A7768" t="s">
        <v>10164</v>
      </c>
      <c r="B7768" t="s">
        <v>58</v>
      </c>
      <c r="C7768">
        <v>8989697390</v>
      </c>
      <c r="D7768" s="2">
        <v>1</v>
      </c>
      <c r="E7768" t="str">
        <f>"4574674200900363"</f>
        <v>4574674200900363</v>
      </c>
      <c r="F7768" t="str">
        <f>"301"</f>
        <v>301</v>
      </c>
      <c r="G7768">
        <v>1</v>
      </c>
      <c r="H7768">
        <v>2023</v>
      </c>
      <c r="I7768" t="s">
        <v>7883</v>
      </c>
    </row>
    <row r="7769" spans="1:9" x14ac:dyDescent="0.3">
      <c r="A7769" t="s">
        <v>10164</v>
      </c>
      <c r="B7769" t="s">
        <v>58</v>
      </c>
      <c r="C7769">
        <v>8989697390</v>
      </c>
      <c r="D7769" s="2">
        <v>1</v>
      </c>
      <c r="E7769" t="str">
        <f>"4574674200900488"</f>
        <v>4574674200900488</v>
      </c>
      <c r="F7769" t="str">
        <f>"807"</f>
        <v>807</v>
      </c>
      <c r="G7769">
        <v>1</v>
      </c>
      <c r="H7769">
        <v>2023</v>
      </c>
      <c r="I7769" t="s">
        <v>7884</v>
      </c>
    </row>
    <row r="7770" spans="1:9" x14ac:dyDescent="0.3">
      <c r="A7770" t="s">
        <v>10164</v>
      </c>
      <c r="B7770" t="s">
        <v>58</v>
      </c>
      <c r="C7770">
        <v>8989697390</v>
      </c>
      <c r="D7770" s="2">
        <v>1</v>
      </c>
      <c r="E7770" t="str">
        <f>"4574674200900512"</f>
        <v>4574674200900512</v>
      </c>
      <c r="F7770" t="str">
        <f>"079"</f>
        <v>079</v>
      </c>
      <c r="G7770">
        <v>1</v>
      </c>
      <c r="H7770">
        <v>2023</v>
      </c>
      <c r="I7770" t="s">
        <v>7885</v>
      </c>
    </row>
    <row r="7771" spans="1:9" x14ac:dyDescent="0.3">
      <c r="A7771" t="s">
        <v>10164</v>
      </c>
      <c r="B7771" t="s">
        <v>58</v>
      </c>
      <c r="C7771">
        <v>8989697390</v>
      </c>
      <c r="D7771" s="2">
        <v>1</v>
      </c>
      <c r="E7771" t="str">
        <f>"4574674200900629"</f>
        <v>4574674200900629</v>
      </c>
      <c r="F7771" t="str">
        <f>"298"</f>
        <v>298</v>
      </c>
      <c r="G7771">
        <v>1</v>
      </c>
      <c r="H7771">
        <v>2023</v>
      </c>
      <c r="I7771" t="s">
        <v>7886</v>
      </c>
    </row>
    <row r="7772" spans="1:9" x14ac:dyDescent="0.3">
      <c r="A7772" t="s">
        <v>10164</v>
      </c>
      <c r="B7772" t="s">
        <v>58</v>
      </c>
      <c r="C7772">
        <v>8989697390</v>
      </c>
      <c r="D7772" s="2">
        <v>1</v>
      </c>
      <c r="E7772" t="str">
        <f>"4574674200900371"</f>
        <v>4574674200900371</v>
      </c>
      <c r="F7772" t="str">
        <f>"676"</f>
        <v>676</v>
      </c>
      <c r="G7772">
        <v>1</v>
      </c>
      <c r="H7772">
        <v>2023</v>
      </c>
      <c r="I7772" t="s">
        <v>7887</v>
      </c>
    </row>
    <row r="7773" spans="1:9" x14ac:dyDescent="0.3">
      <c r="A7773" t="s">
        <v>10164</v>
      </c>
      <c r="B7773" t="s">
        <v>58</v>
      </c>
      <c r="C7773">
        <v>8989697390</v>
      </c>
      <c r="D7773" s="2">
        <v>1</v>
      </c>
      <c r="E7773" t="str">
        <f>"4574674200900678"</f>
        <v>4574674200900678</v>
      </c>
      <c r="F7773" t="str">
        <f>"710"</f>
        <v>710</v>
      </c>
      <c r="G7773">
        <v>1</v>
      </c>
      <c r="H7773">
        <v>2023</v>
      </c>
      <c r="I7773" t="s">
        <v>7888</v>
      </c>
    </row>
    <row r="7774" spans="1:9" x14ac:dyDescent="0.3">
      <c r="A7774" t="s">
        <v>10164</v>
      </c>
      <c r="B7774" t="s">
        <v>58</v>
      </c>
      <c r="C7774">
        <v>8989697390</v>
      </c>
      <c r="D7774" s="2">
        <v>1</v>
      </c>
      <c r="E7774" t="str">
        <f>"4574674200900686"</f>
        <v>4574674200900686</v>
      </c>
      <c r="F7774" t="str">
        <f>"356"</f>
        <v>356</v>
      </c>
      <c r="G7774">
        <v>1</v>
      </c>
      <c r="H7774">
        <v>2023</v>
      </c>
      <c r="I7774" t="s">
        <v>7889</v>
      </c>
    </row>
    <row r="7775" spans="1:9" x14ac:dyDescent="0.3">
      <c r="A7775" t="s">
        <v>10164</v>
      </c>
      <c r="B7775" t="s">
        <v>58</v>
      </c>
      <c r="C7775">
        <v>8989697390</v>
      </c>
      <c r="D7775" s="2">
        <v>1</v>
      </c>
      <c r="E7775" t="str">
        <f>"4574674200900553"</f>
        <v>4574674200900553</v>
      </c>
      <c r="F7775" t="str">
        <f>"178"</f>
        <v>178</v>
      </c>
      <c r="G7775">
        <v>1</v>
      </c>
      <c r="H7775">
        <v>2023</v>
      </c>
      <c r="I7775" t="s">
        <v>7890</v>
      </c>
    </row>
    <row r="7776" spans="1:9" x14ac:dyDescent="0.3">
      <c r="A7776" t="s">
        <v>10164</v>
      </c>
      <c r="B7776" t="s">
        <v>58</v>
      </c>
      <c r="C7776">
        <v>8989697390</v>
      </c>
      <c r="D7776" s="2">
        <v>1</v>
      </c>
      <c r="E7776" t="str">
        <f>"4574674200900835"</f>
        <v>4574674200900835</v>
      </c>
      <c r="F7776" t="str">
        <f>"024"</f>
        <v>024</v>
      </c>
      <c r="G7776">
        <v>1</v>
      </c>
      <c r="H7776">
        <v>2023</v>
      </c>
      <c r="I7776" t="s">
        <v>7891</v>
      </c>
    </row>
    <row r="7777" spans="1:9" x14ac:dyDescent="0.3">
      <c r="A7777" t="s">
        <v>10124</v>
      </c>
      <c r="B7777" t="s">
        <v>79</v>
      </c>
      <c r="C7777">
        <v>8989697390</v>
      </c>
      <c r="D7777" s="2">
        <v>1</v>
      </c>
      <c r="E7777" t="str">
        <f>"4574674200901411"</f>
        <v>4574674200901411</v>
      </c>
      <c r="F7777" t="str">
        <f>"991"</f>
        <v>991</v>
      </c>
      <c r="G7777">
        <v>1</v>
      </c>
      <c r="H7777">
        <v>2023</v>
      </c>
      <c r="I7777" t="s">
        <v>7892</v>
      </c>
    </row>
    <row r="7778" spans="1:9" x14ac:dyDescent="0.3">
      <c r="A7778" t="s">
        <v>10124</v>
      </c>
      <c r="B7778" t="s">
        <v>79</v>
      </c>
      <c r="C7778">
        <v>8989697390</v>
      </c>
      <c r="D7778" s="2">
        <v>1</v>
      </c>
      <c r="E7778" t="str">
        <f>"4574674200901346"</f>
        <v>4574674200901346</v>
      </c>
      <c r="F7778" t="str">
        <f>"679"</f>
        <v>679</v>
      </c>
      <c r="G7778">
        <v>1</v>
      </c>
      <c r="H7778">
        <v>2023</v>
      </c>
      <c r="I7778" t="s">
        <v>7893</v>
      </c>
    </row>
    <row r="7779" spans="1:9" x14ac:dyDescent="0.3">
      <c r="A7779" t="s">
        <v>10124</v>
      </c>
      <c r="B7779" t="s">
        <v>79</v>
      </c>
      <c r="C7779">
        <v>8989697390</v>
      </c>
      <c r="D7779" s="2">
        <v>1</v>
      </c>
      <c r="E7779" t="str">
        <f>"4574674200901387"</f>
        <v>4574674200901387</v>
      </c>
      <c r="F7779" t="str">
        <f>"224"</f>
        <v>224</v>
      </c>
      <c r="G7779">
        <v>1</v>
      </c>
      <c r="H7779">
        <v>2023</v>
      </c>
      <c r="I7779" t="s">
        <v>7894</v>
      </c>
    </row>
    <row r="7780" spans="1:9" x14ac:dyDescent="0.3">
      <c r="A7780" t="s">
        <v>10124</v>
      </c>
      <c r="B7780" t="s">
        <v>79</v>
      </c>
      <c r="C7780">
        <v>8989697390</v>
      </c>
      <c r="D7780" s="2">
        <v>1</v>
      </c>
      <c r="E7780" t="str">
        <f>"4574674200901460"</f>
        <v>4574674200901460</v>
      </c>
      <c r="F7780" t="str">
        <f>"306"</f>
        <v>306</v>
      </c>
      <c r="G7780">
        <v>1</v>
      </c>
      <c r="H7780">
        <v>2023</v>
      </c>
      <c r="I7780" t="s">
        <v>7895</v>
      </c>
    </row>
    <row r="7781" spans="1:9" x14ac:dyDescent="0.3">
      <c r="A7781" t="s">
        <v>10124</v>
      </c>
      <c r="B7781" t="s">
        <v>79</v>
      </c>
      <c r="C7781">
        <v>8989697390</v>
      </c>
      <c r="D7781" s="2">
        <v>1</v>
      </c>
      <c r="E7781" t="str">
        <f>"4574674200901395"</f>
        <v>4574674200901395</v>
      </c>
      <c r="F7781" t="str">
        <f>"914"</f>
        <v>914</v>
      </c>
      <c r="G7781">
        <v>1</v>
      </c>
      <c r="H7781">
        <v>2023</v>
      </c>
      <c r="I7781" t="s">
        <v>7896</v>
      </c>
    </row>
    <row r="7782" spans="1:9" x14ac:dyDescent="0.3">
      <c r="A7782" t="s">
        <v>10124</v>
      </c>
      <c r="B7782" t="s">
        <v>79</v>
      </c>
      <c r="C7782">
        <v>8989697390</v>
      </c>
      <c r="D7782" s="2">
        <v>1</v>
      </c>
      <c r="E7782" t="str">
        <f>"4574674200901643"</f>
        <v>4574674200901643</v>
      </c>
      <c r="F7782" t="str">
        <f>"725"</f>
        <v>725</v>
      </c>
      <c r="G7782">
        <v>1</v>
      </c>
      <c r="H7782">
        <v>2023</v>
      </c>
      <c r="I7782" t="s">
        <v>7897</v>
      </c>
    </row>
    <row r="7783" spans="1:9" x14ac:dyDescent="0.3">
      <c r="A7783" t="s">
        <v>10124</v>
      </c>
      <c r="B7783" t="s">
        <v>79</v>
      </c>
      <c r="C7783">
        <v>8989697390</v>
      </c>
      <c r="D7783" s="2">
        <v>1</v>
      </c>
      <c r="E7783" t="str">
        <f>"4574674200901676"</f>
        <v>4574674200901676</v>
      </c>
      <c r="F7783" t="str">
        <f>"436"</f>
        <v>436</v>
      </c>
      <c r="G7783">
        <v>1</v>
      </c>
      <c r="H7783">
        <v>2023</v>
      </c>
      <c r="I7783" t="s">
        <v>7898</v>
      </c>
    </row>
    <row r="7784" spans="1:9" x14ac:dyDescent="0.3">
      <c r="A7784" t="s">
        <v>10124</v>
      </c>
      <c r="B7784" t="s">
        <v>79</v>
      </c>
      <c r="C7784">
        <v>8989697390</v>
      </c>
      <c r="D7784" s="2">
        <v>1</v>
      </c>
      <c r="E7784" t="str">
        <f>"4574674200901718"</f>
        <v>4574674200901718</v>
      </c>
      <c r="F7784" t="str">
        <f>"847"</f>
        <v>847</v>
      </c>
      <c r="G7784">
        <v>1</v>
      </c>
      <c r="H7784">
        <v>2023</v>
      </c>
      <c r="I7784" t="s">
        <v>7899</v>
      </c>
    </row>
    <row r="7785" spans="1:9" x14ac:dyDescent="0.3">
      <c r="A7785" t="s">
        <v>10124</v>
      </c>
      <c r="B7785" t="s">
        <v>79</v>
      </c>
      <c r="C7785">
        <v>8989697390</v>
      </c>
      <c r="D7785" s="2">
        <v>1</v>
      </c>
      <c r="E7785" t="str">
        <f>"4574674200901726"</f>
        <v>4574674200901726</v>
      </c>
      <c r="F7785" t="str">
        <f>"513"</f>
        <v>513</v>
      </c>
      <c r="G7785">
        <v>1</v>
      </c>
      <c r="H7785">
        <v>2023</v>
      </c>
      <c r="I7785" t="s">
        <v>7900</v>
      </c>
    </row>
    <row r="7786" spans="1:9" x14ac:dyDescent="0.3">
      <c r="A7786" t="s">
        <v>10124</v>
      </c>
      <c r="B7786" t="s">
        <v>79</v>
      </c>
      <c r="C7786">
        <v>8989697390</v>
      </c>
      <c r="D7786" s="2">
        <v>1</v>
      </c>
      <c r="E7786" t="str">
        <f>"4574674200901536"</f>
        <v>4574674200901536</v>
      </c>
      <c r="F7786" t="str">
        <f>"718"</f>
        <v>718</v>
      </c>
      <c r="G7786">
        <v>1</v>
      </c>
      <c r="H7786">
        <v>2023</v>
      </c>
      <c r="I7786" t="s">
        <v>7901</v>
      </c>
    </row>
    <row r="7787" spans="1:9" x14ac:dyDescent="0.3">
      <c r="A7787" t="s">
        <v>10125</v>
      </c>
      <c r="B7787" t="s">
        <v>80</v>
      </c>
      <c r="C7787">
        <v>8989697390</v>
      </c>
      <c r="D7787" s="2">
        <v>1</v>
      </c>
      <c r="E7787" t="str">
        <f>"4574674200901759"</f>
        <v>4574674200901759</v>
      </c>
      <c r="F7787" t="str">
        <f>"928"</f>
        <v>928</v>
      </c>
      <c r="G7787">
        <v>1</v>
      </c>
      <c r="H7787">
        <v>2023</v>
      </c>
      <c r="I7787" t="s">
        <v>7902</v>
      </c>
    </row>
    <row r="7788" spans="1:9" x14ac:dyDescent="0.3">
      <c r="A7788" t="s">
        <v>10125</v>
      </c>
      <c r="B7788" t="s">
        <v>80</v>
      </c>
      <c r="C7788">
        <v>8989697390</v>
      </c>
      <c r="D7788" s="2">
        <v>1</v>
      </c>
      <c r="E7788" t="str">
        <f>"4574674200901577"</f>
        <v>4574674200901577</v>
      </c>
      <c r="F7788" t="str">
        <f>"207"</f>
        <v>207</v>
      </c>
      <c r="G7788">
        <v>1</v>
      </c>
      <c r="H7788">
        <v>2023</v>
      </c>
      <c r="I7788" t="s">
        <v>7903</v>
      </c>
    </row>
    <row r="7789" spans="1:9" x14ac:dyDescent="0.3">
      <c r="A7789" t="s">
        <v>10125</v>
      </c>
      <c r="B7789" t="s">
        <v>80</v>
      </c>
      <c r="C7789">
        <v>8989697390</v>
      </c>
      <c r="D7789" s="2">
        <v>1</v>
      </c>
      <c r="E7789" t="str">
        <f>"4574674200901825"</f>
        <v>4574674200901825</v>
      </c>
      <c r="F7789" t="str">
        <f>"377"</f>
        <v>377</v>
      </c>
      <c r="G7789">
        <v>1</v>
      </c>
      <c r="H7789">
        <v>2023</v>
      </c>
      <c r="I7789" t="s">
        <v>7904</v>
      </c>
    </row>
    <row r="7790" spans="1:9" x14ac:dyDescent="0.3">
      <c r="A7790" t="s">
        <v>10125</v>
      </c>
      <c r="B7790" t="s">
        <v>80</v>
      </c>
      <c r="C7790">
        <v>8989697390</v>
      </c>
      <c r="D7790" s="2">
        <v>1</v>
      </c>
      <c r="E7790" t="str">
        <f>"4574674200901882"</f>
        <v>4574674200901882</v>
      </c>
      <c r="F7790" t="str">
        <f>"435"</f>
        <v>435</v>
      </c>
      <c r="G7790">
        <v>1</v>
      </c>
      <c r="H7790">
        <v>2023</v>
      </c>
      <c r="I7790" t="s">
        <v>7905</v>
      </c>
    </row>
    <row r="7791" spans="1:9" x14ac:dyDescent="0.3">
      <c r="A7791" t="s">
        <v>10125</v>
      </c>
      <c r="B7791" t="s">
        <v>80</v>
      </c>
      <c r="C7791">
        <v>8989697390</v>
      </c>
      <c r="D7791" s="2">
        <v>1</v>
      </c>
      <c r="E7791" t="str">
        <f>"4574674200901874"</f>
        <v>4574674200901874</v>
      </c>
      <c r="F7791" t="str">
        <f>"401"</f>
        <v>401</v>
      </c>
      <c r="G7791">
        <v>1</v>
      </c>
      <c r="H7791">
        <v>2023</v>
      </c>
      <c r="I7791" t="s">
        <v>7906</v>
      </c>
    </row>
    <row r="7792" spans="1:9" x14ac:dyDescent="0.3">
      <c r="A7792" t="s">
        <v>10125</v>
      </c>
      <c r="B7792" t="s">
        <v>80</v>
      </c>
      <c r="C7792">
        <v>8989697390</v>
      </c>
      <c r="D7792" s="2">
        <v>1</v>
      </c>
      <c r="E7792" t="str">
        <f>"4574674200902062"</f>
        <v>4574674200902062</v>
      </c>
      <c r="F7792" t="str">
        <f>"201"</f>
        <v>201</v>
      </c>
      <c r="G7792">
        <v>1</v>
      </c>
      <c r="H7792">
        <v>2023</v>
      </c>
      <c r="I7792" t="s">
        <v>7907</v>
      </c>
    </row>
    <row r="7793" spans="1:9" x14ac:dyDescent="0.3">
      <c r="A7793" t="s">
        <v>10125</v>
      </c>
      <c r="B7793" t="s">
        <v>80</v>
      </c>
      <c r="C7793">
        <v>8989697390</v>
      </c>
      <c r="D7793" s="2">
        <v>1</v>
      </c>
      <c r="E7793" t="str">
        <f>"4574674200901981"</f>
        <v>4574674200901981</v>
      </c>
      <c r="F7793" t="str">
        <f>"688"</f>
        <v>688</v>
      </c>
      <c r="G7793">
        <v>1</v>
      </c>
      <c r="H7793">
        <v>2023</v>
      </c>
      <c r="I7793" t="s">
        <v>7908</v>
      </c>
    </row>
    <row r="7794" spans="1:9" x14ac:dyDescent="0.3">
      <c r="A7794" t="s">
        <v>10125</v>
      </c>
      <c r="B7794" t="s">
        <v>80</v>
      </c>
      <c r="C7794">
        <v>8989697390</v>
      </c>
      <c r="D7794" s="2">
        <v>1</v>
      </c>
      <c r="E7794" t="str">
        <f>"4574674200901957"</f>
        <v>4574674200901957</v>
      </c>
      <c r="F7794" t="str">
        <f>"674"</f>
        <v>674</v>
      </c>
      <c r="G7794">
        <v>1</v>
      </c>
      <c r="H7794">
        <v>2023</v>
      </c>
      <c r="I7794" t="s">
        <v>7909</v>
      </c>
    </row>
    <row r="7795" spans="1:9" x14ac:dyDescent="0.3">
      <c r="A7795" t="s">
        <v>10125</v>
      </c>
      <c r="B7795" t="s">
        <v>80</v>
      </c>
      <c r="C7795">
        <v>8989697390</v>
      </c>
      <c r="D7795" s="2">
        <v>1</v>
      </c>
      <c r="E7795" t="str">
        <f>"4574674200901940"</f>
        <v>4574674200901940</v>
      </c>
      <c r="F7795" t="str">
        <f>"289"</f>
        <v>289</v>
      </c>
      <c r="G7795">
        <v>1</v>
      </c>
      <c r="H7795">
        <v>2023</v>
      </c>
      <c r="I7795" t="s">
        <v>7910</v>
      </c>
    </row>
    <row r="7796" spans="1:9" x14ac:dyDescent="0.3">
      <c r="A7796" t="s">
        <v>10125</v>
      </c>
      <c r="B7796" t="s">
        <v>80</v>
      </c>
      <c r="C7796">
        <v>8989697390</v>
      </c>
      <c r="D7796" s="2">
        <v>1</v>
      </c>
      <c r="E7796" t="str">
        <f>"4574674200901973"</f>
        <v>4574674200901973</v>
      </c>
      <c r="F7796" t="str">
        <f>"945"</f>
        <v>945</v>
      </c>
      <c r="G7796">
        <v>1</v>
      </c>
      <c r="H7796">
        <v>2023</v>
      </c>
      <c r="I7796" t="s">
        <v>7911</v>
      </c>
    </row>
    <row r="7797" spans="1:9" x14ac:dyDescent="0.3">
      <c r="A7797" t="s">
        <v>10169</v>
      </c>
      <c r="B7797" t="s">
        <v>70</v>
      </c>
      <c r="C7797">
        <v>8989697390</v>
      </c>
      <c r="D7797" s="2">
        <v>1</v>
      </c>
      <c r="E7797" t="str">
        <f>"4574674200902211"</f>
        <v>4574674200902211</v>
      </c>
      <c r="F7797" t="str">
        <f>"954"</f>
        <v>954</v>
      </c>
      <c r="G7797">
        <v>1</v>
      </c>
      <c r="H7797">
        <v>2023</v>
      </c>
      <c r="I7797" t="s">
        <v>7912</v>
      </c>
    </row>
    <row r="7798" spans="1:9" x14ac:dyDescent="0.3">
      <c r="A7798" t="s">
        <v>10169</v>
      </c>
      <c r="B7798" t="s">
        <v>70</v>
      </c>
      <c r="C7798">
        <v>8989697390</v>
      </c>
      <c r="D7798" s="2">
        <v>1</v>
      </c>
      <c r="E7798" t="str">
        <f>"4574674200902112"</f>
        <v>4574674200902112</v>
      </c>
      <c r="F7798" t="str">
        <f>"232"</f>
        <v>232</v>
      </c>
      <c r="G7798">
        <v>1</v>
      </c>
      <c r="H7798">
        <v>2023</v>
      </c>
      <c r="I7798" t="s">
        <v>7913</v>
      </c>
    </row>
    <row r="7799" spans="1:9" x14ac:dyDescent="0.3">
      <c r="A7799" t="s">
        <v>10169</v>
      </c>
      <c r="B7799" t="s">
        <v>70</v>
      </c>
      <c r="C7799">
        <v>8989697390</v>
      </c>
      <c r="D7799" s="2">
        <v>1</v>
      </c>
      <c r="E7799" t="str">
        <f>"4574674200902161"</f>
        <v>4574674200902161</v>
      </c>
      <c r="F7799" t="str">
        <f>"818"</f>
        <v>818</v>
      </c>
      <c r="G7799">
        <v>1</v>
      </c>
      <c r="H7799">
        <v>2023</v>
      </c>
      <c r="I7799" t="s">
        <v>7914</v>
      </c>
    </row>
    <row r="7800" spans="1:9" x14ac:dyDescent="0.3">
      <c r="A7800" t="s">
        <v>10169</v>
      </c>
      <c r="B7800" t="s">
        <v>70</v>
      </c>
      <c r="C7800">
        <v>8989697390</v>
      </c>
      <c r="D7800" s="2">
        <v>1</v>
      </c>
      <c r="E7800" t="str">
        <f>"4574674200902294"</f>
        <v>4574674200902294</v>
      </c>
      <c r="F7800" t="str">
        <f>"456"</f>
        <v>456</v>
      </c>
      <c r="G7800">
        <v>1</v>
      </c>
      <c r="H7800">
        <v>2023</v>
      </c>
      <c r="I7800" t="s">
        <v>7915</v>
      </c>
    </row>
    <row r="7801" spans="1:9" x14ac:dyDescent="0.3">
      <c r="A7801" t="s">
        <v>10169</v>
      </c>
      <c r="B7801" t="s">
        <v>70</v>
      </c>
      <c r="C7801">
        <v>8989697390</v>
      </c>
      <c r="D7801" s="2">
        <v>1</v>
      </c>
      <c r="E7801" t="str">
        <f>"4574674200902328"</f>
        <v>4574674200902328</v>
      </c>
      <c r="F7801" t="str">
        <f>"361"</f>
        <v>361</v>
      </c>
      <c r="G7801">
        <v>1</v>
      </c>
      <c r="H7801">
        <v>2023</v>
      </c>
      <c r="I7801" t="s">
        <v>7916</v>
      </c>
    </row>
    <row r="7802" spans="1:9" x14ac:dyDescent="0.3">
      <c r="A7802" t="s">
        <v>10169</v>
      </c>
      <c r="B7802" t="s">
        <v>70</v>
      </c>
      <c r="C7802">
        <v>8989697390</v>
      </c>
      <c r="D7802" s="2">
        <v>1</v>
      </c>
      <c r="E7802" t="str">
        <f>"4574674200902377"</f>
        <v>4574674200902377</v>
      </c>
      <c r="F7802" t="str">
        <f>"443"</f>
        <v>443</v>
      </c>
      <c r="G7802">
        <v>1</v>
      </c>
      <c r="H7802">
        <v>2023</v>
      </c>
      <c r="I7802" t="s">
        <v>7917</v>
      </c>
    </row>
    <row r="7803" spans="1:9" x14ac:dyDescent="0.3">
      <c r="A7803" t="s">
        <v>10169</v>
      </c>
      <c r="B7803" t="s">
        <v>70</v>
      </c>
      <c r="C7803">
        <v>8989697390</v>
      </c>
      <c r="D7803" s="2">
        <v>1</v>
      </c>
      <c r="E7803" t="str">
        <f>"4574674200902344"</f>
        <v>4574674200902344</v>
      </c>
      <c r="F7803" t="str">
        <f>"964"</f>
        <v>964</v>
      </c>
      <c r="G7803">
        <v>1</v>
      </c>
      <c r="H7803">
        <v>2023</v>
      </c>
      <c r="I7803" t="s">
        <v>7918</v>
      </c>
    </row>
    <row r="7804" spans="1:9" x14ac:dyDescent="0.3">
      <c r="A7804" t="s">
        <v>10169</v>
      </c>
      <c r="B7804" t="s">
        <v>70</v>
      </c>
      <c r="C7804">
        <v>8989697390</v>
      </c>
      <c r="D7804" s="2">
        <v>1</v>
      </c>
      <c r="E7804" t="str">
        <f>"4574674200902336"</f>
        <v>4574674200902336</v>
      </c>
      <c r="F7804" t="str">
        <f>"583"</f>
        <v>583</v>
      </c>
      <c r="G7804">
        <v>1</v>
      </c>
      <c r="H7804">
        <v>2023</v>
      </c>
      <c r="I7804" t="s">
        <v>7919</v>
      </c>
    </row>
    <row r="7805" spans="1:9" x14ac:dyDescent="0.3">
      <c r="A7805" t="s">
        <v>10169</v>
      </c>
      <c r="B7805" t="s">
        <v>70</v>
      </c>
      <c r="C7805">
        <v>8989697390</v>
      </c>
      <c r="D7805" s="2">
        <v>1</v>
      </c>
      <c r="E7805" t="str">
        <f>"4574674200902658"</f>
        <v>4574674200902658</v>
      </c>
      <c r="F7805" t="str">
        <f>"593"</f>
        <v>593</v>
      </c>
      <c r="G7805">
        <v>1</v>
      </c>
      <c r="H7805">
        <v>2023</v>
      </c>
      <c r="I7805" t="s">
        <v>7920</v>
      </c>
    </row>
    <row r="7806" spans="1:9" x14ac:dyDescent="0.3">
      <c r="A7806" t="s">
        <v>10169</v>
      </c>
      <c r="B7806" t="s">
        <v>70</v>
      </c>
      <c r="C7806">
        <v>8989697390</v>
      </c>
      <c r="D7806" s="2">
        <v>1</v>
      </c>
      <c r="E7806" t="str">
        <f>"4574674200902518"</f>
        <v>4574674200902518</v>
      </c>
      <c r="F7806" t="str">
        <f>"437"</f>
        <v>437</v>
      </c>
      <c r="G7806">
        <v>1</v>
      </c>
      <c r="H7806">
        <v>2023</v>
      </c>
      <c r="I7806" t="s">
        <v>7921</v>
      </c>
    </row>
    <row r="7807" spans="1:9" x14ac:dyDescent="0.3">
      <c r="A7807" t="s">
        <v>10128</v>
      </c>
      <c r="B7807" t="s">
        <v>71</v>
      </c>
      <c r="C7807">
        <v>8989697390</v>
      </c>
      <c r="D7807" s="2">
        <v>1</v>
      </c>
      <c r="E7807" t="str">
        <f>"4574674200902476"</f>
        <v>4574674200902476</v>
      </c>
      <c r="F7807" t="str">
        <f>"426"</f>
        <v>426</v>
      </c>
      <c r="G7807">
        <v>1</v>
      </c>
      <c r="H7807">
        <v>2023</v>
      </c>
      <c r="I7807" t="s">
        <v>7922</v>
      </c>
    </row>
    <row r="7808" spans="1:9" x14ac:dyDescent="0.3">
      <c r="A7808" t="s">
        <v>10128</v>
      </c>
      <c r="B7808" t="s">
        <v>71</v>
      </c>
      <c r="C7808">
        <v>8989697390</v>
      </c>
      <c r="D7808" s="2">
        <v>1</v>
      </c>
      <c r="E7808" t="str">
        <f>"4574674200902484"</f>
        <v>4574674200902484</v>
      </c>
      <c r="F7808" t="str">
        <f>"075"</f>
        <v>075</v>
      </c>
      <c r="G7808">
        <v>1</v>
      </c>
      <c r="H7808">
        <v>2023</v>
      </c>
      <c r="I7808" t="s">
        <v>7923</v>
      </c>
    </row>
    <row r="7809" spans="1:9" x14ac:dyDescent="0.3">
      <c r="A7809" t="s">
        <v>10128</v>
      </c>
      <c r="B7809" t="s">
        <v>71</v>
      </c>
      <c r="C7809">
        <v>8989697390</v>
      </c>
      <c r="D7809" s="2">
        <v>1</v>
      </c>
      <c r="E7809" t="str">
        <f>"4574674200902468"</f>
        <v>4574674200902468</v>
      </c>
      <c r="F7809" t="str">
        <f>"344"</f>
        <v>344</v>
      </c>
      <c r="G7809">
        <v>1</v>
      </c>
      <c r="H7809">
        <v>2023</v>
      </c>
      <c r="I7809" t="s">
        <v>7924</v>
      </c>
    </row>
    <row r="7810" spans="1:9" x14ac:dyDescent="0.3">
      <c r="A7810" t="s">
        <v>10128</v>
      </c>
      <c r="B7810" t="s">
        <v>71</v>
      </c>
      <c r="C7810">
        <v>8989697390</v>
      </c>
      <c r="D7810" s="2">
        <v>1</v>
      </c>
      <c r="E7810" t="str">
        <f>"4574674200902534"</f>
        <v>4574674200902534</v>
      </c>
      <c r="F7810" t="str">
        <f>"510"</f>
        <v>510</v>
      </c>
      <c r="G7810">
        <v>1</v>
      </c>
      <c r="H7810">
        <v>2023</v>
      </c>
      <c r="I7810" t="s">
        <v>7925</v>
      </c>
    </row>
    <row r="7811" spans="1:9" x14ac:dyDescent="0.3">
      <c r="A7811" t="s">
        <v>10128</v>
      </c>
      <c r="B7811" t="s">
        <v>71</v>
      </c>
      <c r="C7811">
        <v>8989697390</v>
      </c>
      <c r="D7811" s="2">
        <v>1</v>
      </c>
      <c r="E7811" t="str">
        <f>"4574674200902708"</f>
        <v>4574674200902708</v>
      </c>
      <c r="F7811" t="str">
        <f>"075"</f>
        <v>075</v>
      </c>
      <c r="G7811">
        <v>1</v>
      </c>
      <c r="H7811">
        <v>2023</v>
      </c>
      <c r="I7811" t="s">
        <v>7926</v>
      </c>
    </row>
    <row r="7812" spans="1:9" x14ac:dyDescent="0.3">
      <c r="A7812" t="s">
        <v>10128</v>
      </c>
      <c r="B7812" t="s">
        <v>71</v>
      </c>
      <c r="C7812">
        <v>8989697390</v>
      </c>
      <c r="D7812" s="2">
        <v>1</v>
      </c>
      <c r="E7812" t="str">
        <f>"4574674200902591"</f>
        <v>4574674200902591</v>
      </c>
      <c r="F7812" t="str">
        <f>"060"</f>
        <v>060</v>
      </c>
      <c r="G7812">
        <v>1</v>
      </c>
      <c r="H7812">
        <v>2023</v>
      </c>
      <c r="I7812" t="s">
        <v>7927</v>
      </c>
    </row>
    <row r="7813" spans="1:9" x14ac:dyDescent="0.3">
      <c r="A7813" t="s">
        <v>10128</v>
      </c>
      <c r="B7813" t="s">
        <v>71</v>
      </c>
      <c r="C7813">
        <v>8989697390</v>
      </c>
      <c r="D7813" s="2">
        <v>1</v>
      </c>
      <c r="E7813" t="str">
        <f>"4574674200902815"</f>
        <v>4574674200902815</v>
      </c>
      <c r="F7813" t="str">
        <f>"013"</f>
        <v>013</v>
      </c>
      <c r="G7813">
        <v>1</v>
      </c>
      <c r="H7813">
        <v>2023</v>
      </c>
      <c r="I7813" t="s">
        <v>7928</v>
      </c>
    </row>
    <row r="7814" spans="1:9" x14ac:dyDescent="0.3">
      <c r="A7814" t="s">
        <v>10128</v>
      </c>
      <c r="B7814" t="s">
        <v>71</v>
      </c>
      <c r="C7814">
        <v>8989697390</v>
      </c>
      <c r="D7814" s="2">
        <v>1</v>
      </c>
      <c r="E7814" t="str">
        <f>"4574674200902823"</f>
        <v>4574674200902823</v>
      </c>
      <c r="F7814" t="str">
        <f>"352"</f>
        <v>352</v>
      </c>
      <c r="G7814">
        <v>1</v>
      </c>
      <c r="H7814">
        <v>2023</v>
      </c>
      <c r="I7814" t="s">
        <v>7929</v>
      </c>
    </row>
    <row r="7815" spans="1:9" x14ac:dyDescent="0.3">
      <c r="A7815" t="s">
        <v>10128</v>
      </c>
      <c r="B7815" t="s">
        <v>71</v>
      </c>
      <c r="C7815">
        <v>8989697390</v>
      </c>
      <c r="D7815" s="2">
        <v>1</v>
      </c>
      <c r="E7815" t="str">
        <f>"4574674200902872"</f>
        <v>4574674200902872</v>
      </c>
      <c r="F7815" t="str">
        <f>"452"</f>
        <v>452</v>
      </c>
      <c r="G7815">
        <v>1</v>
      </c>
      <c r="H7815">
        <v>2023</v>
      </c>
      <c r="I7815" t="s">
        <v>7930</v>
      </c>
    </row>
    <row r="7816" spans="1:9" x14ac:dyDescent="0.3">
      <c r="A7816" t="s">
        <v>10128</v>
      </c>
      <c r="B7816" t="s">
        <v>71</v>
      </c>
      <c r="C7816">
        <v>8989697390</v>
      </c>
      <c r="D7816" s="2">
        <v>1</v>
      </c>
      <c r="E7816" t="str">
        <f>"4574674200902906"</f>
        <v>4574674200902906</v>
      </c>
      <c r="F7816" t="str">
        <f>"480"</f>
        <v>480</v>
      </c>
      <c r="G7816">
        <v>1</v>
      </c>
      <c r="H7816">
        <v>2023</v>
      </c>
      <c r="I7816" t="s">
        <v>7931</v>
      </c>
    </row>
    <row r="7817" spans="1:9" x14ac:dyDescent="0.3">
      <c r="A7817" t="s">
        <v>10129</v>
      </c>
      <c r="B7817" t="s">
        <v>72</v>
      </c>
      <c r="C7817">
        <v>8989697390</v>
      </c>
      <c r="D7817" s="2">
        <v>1</v>
      </c>
      <c r="E7817" t="str">
        <f>"4574674200902781"</f>
        <v>4574674200902781</v>
      </c>
      <c r="F7817" t="str">
        <f>"748"</f>
        <v>748</v>
      </c>
      <c r="G7817">
        <v>1</v>
      </c>
      <c r="H7817">
        <v>2023</v>
      </c>
      <c r="I7817" t="s">
        <v>7932</v>
      </c>
    </row>
    <row r="7818" spans="1:9" x14ac:dyDescent="0.3">
      <c r="A7818" t="s">
        <v>10129</v>
      </c>
      <c r="B7818" t="s">
        <v>72</v>
      </c>
      <c r="C7818">
        <v>8989697390</v>
      </c>
      <c r="D7818" s="2">
        <v>1</v>
      </c>
      <c r="E7818" t="str">
        <f>"4574674200903003"</f>
        <v>4574674200903003</v>
      </c>
      <c r="F7818" t="str">
        <f>"702"</f>
        <v>702</v>
      </c>
      <c r="G7818">
        <v>1</v>
      </c>
      <c r="H7818">
        <v>2023</v>
      </c>
      <c r="I7818" t="s">
        <v>7933</v>
      </c>
    </row>
    <row r="7819" spans="1:9" x14ac:dyDescent="0.3">
      <c r="A7819" t="s">
        <v>10129</v>
      </c>
      <c r="B7819" t="s">
        <v>72</v>
      </c>
      <c r="C7819">
        <v>8989697390</v>
      </c>
      <c r="D7819" s="2">
        <v>1</v>
      </c>
      <c r="E7819" t="str">
        <f>"4574674200902948"</f>
        <v>4574674200902948</v>
      </c>
      <c r="F7819" t="str">
        <f>"202"</f>
        <v>202</v>
      </c>
      <c r="G7819">
        <v>1</v>
      </c>
      <c r="H7819">
        <v>2023</v>
      </c>
      <c r="I7819" t="s">
        <v>7934</v>
      </c>
    </row>
    <row r="7820" spans="1:9" x14ac:dyDescent="0.3">
      <c r="A7820" t="s">
        <v>10129</v>
      </c>
      <c r="B7820" t="s">
        <v>72</v>
      </c>
      <c r="C7820">
        <v>8989697390</v>
      </c>
      <c r="D7820" s="2">
        <v>1</v>
      </c>
      <c r="E7820" t="str">
        <f>"4574674200903276"</f>
        <v>4574674200903276</v>
      </c>
      <c r="F7820" t="str">
        <f>"469"</f>
        <v>469</v>
      </c>
      <c r="G7820">
        <v>1</v>
      </c>
      <c r="H7820">
        <v>2023</v>
      </c>
      <c r="I7820" t="s">
        <v>7935</v>
      </c>
    </row>
    <row r="7821" spans="1:9" x14ac:dyDescent="0.3">
      <c r="A7821" t="s">
        <v>10129</v>
      </c>
      <c r="B7821" t="s">
        <v>72</v>
      </c>
      <c r="C7821">
        <v>8989697390</v>
      </c>
      <c r="D7821" s="2">
        <v>1</v>
      </c>
      <c r="E7821" t="str">
        <f>"4574674200902989"</f>
        <v>4574674200902989</v>
      </c>
      <c r="F7821" t="str">
        <f>"191"</f>
        <v>191</v>
      </c>
      <c r="G7821">
        <v>1</v>
      </c>
      <c r="H7821">
        <v>2023</v>
      </c>
      <c r="I7821" t="s">
        <v>7936</v>
      </c>
    </row>
    <row r="7822" spans="1:9" x14ac:dyDescent="0.3">
      <c r="A7822" t="s">
        <v>10129</v>
      </c>
      <c r="B7822" t="s">
        <v>72</v>
      </c>
      <c r="C7822">
        <v>8989697390</v>
      </c>
      <c r="D7822" s="2">
        <v>1</v>
      </c>
      <c r="E7822" t="str">
        <f>"4574674200903284"</f>
        <v>4574674200903284</v>
      </c>
      <c r="F7822" t="str">
        <f>"274"</f>
        <v>274</v>
      </c>
      <c r="G7822">
        <v>1</v>
      </c>
      <c r="H7822">
        <v>2023</v>
      </c>
      <c r="I7822" t="s">
        <v>7937</v>
      </c>
    </row>
    <row r="7823" spans="1:9" x14ac:dyDescent="0.3">
      <c r="A7823" t="s">
        <v>10129</v>
      </c>
      <c r="B7823" t="s">
        <v>72</v>
      </c>
      <c r="C7823">
        <v>8989697390</v>
      </c>
      <c r="D7823" s="2">
        <v>1</v>
      </c>
      <c r="E7823" t="str">
        <f>"4574674200903250"</f>
        <v>4574674200903250</v>
      </c>
      <c r="F7823" t="str">
        <f>"352"</f>
        <v>352</v>
      </c>
      <c r="G7823">
        <v>1</v>
      </c>
      <c r="H7823">
        <v>2023</v>
      </c>
      <c r="I7823" t="s">
        <v>7938</v>
      </c>
    </row>
    <row r="7824" spans="1:9" x14ac:dyDescent="0.3">
      <c r="A7824" t="s">
        <v>10129</v>
      </c>
      <c r="B7824" t="s">
        <v>72</v>
      </c>
      <c r="C7824">
        <v>8989697390</v>
      </c>
      <c r="D7824" s="2">
        <v>1</v>
      </c>
      <c r="E7824" t="str">
        <f>"4574674200903334"</f>
        <v>4574674200903334</v>
      </c>
      <c r="F7824" t="str">
        <f>"782"</f>
        <v>782</v>
      </c>
      <c r="G7824">
        <v>1</v>
      </c>
      <c r="H7824">
        <v>2023</v>
      </c>
      <c r="I7824" t="s">
        <v>7939</v>
      </c>
    </row>
    <row r="7825" spans="1:9" x14ac:dyDescent="0.3">
      <c r="A7825" t="s">
        <v>10129</v>
      </c>
      <c r="B7825" t="s">
        <v>72</v>
      </c>
      <c r="C7825">
        <v>8989697390</v>
      </c>
      <c r="D7825" s="2">
        <v>1</v>
      </c>
      <c r="E7825" t="str">
        <f>"4574674200903383"</f>
        <v>4574674200903383</v>
      </c>
      <c r="F7825" t="str">
        <f>"654"</f>
        <v>654</v>
      </c>
      <c r="G7825">
        <v>1</v>
      </c>
      <c r="H7825">
        <v>2023</v>
      </c>
      <c r="I7825" t="s">
        <v>7940</v>
      </c>
    </row>
    <row r="7826" spans="1:9" x14ac:dyDescent="0.3">
      <c r="A7826" t="s">
        <v>10129</v>
      </c>
      <c r="B7826" t="s">
        <v>72</v>
      </c>
      <c r="C7826">
        <v>8989697390</v>
      </c>
      <c r="D7826" s="2">
        <v>1</v>
      </c>
      <c r="E7826" t="str">
        <f>"4574674200903375"</f>
        <v>4574674200903375</v>
      </c>
      <c r="F7826" t="str">
        <f>"608"</f>
        <v>608</v>
      </c>
      <c r="G7826">
        <v>1</v>
      </c>
      <c r="H7826">
        <v>2023</v>
      </c>
      <c r="I7826" t="s">
        <v>7941</v>
      </c>
    </row>
    <row r="7827" spans="1:9" x14ac:dyDescent="0.3">
      <c r="A7827" t="s">
        <v>10170</v>
      </c>
      <c r="B7827" t="s">
        <v>73</v>
      </c>
      <c r="C7827">
        <v>8989697390</v>
      </c>
      <c r="D7827" s="2">
        <v>1</v>
      </c>
      <c r="E7827" t="str">
        <f>"4574674200903060"</f>
        <v>4574674200903060</v>
      </c>
      <c r="F7827" t="str">
        <f>"687"</f>
        <v>687</v>
      </c>
      <c r="G7827">
        <v>1</v>
      </c>
      <c r="H7827">
        <v>2023</v>
      </c>
      <c r="I7827" t="s">
        <v>7942</v>
      </c>
    </row>
    <row r="7828" spans="1:9" x14ac:dyDescent="0.3">
      <c r="A7828" t="s">
        <v>10170</v>
      </c>
      <c r="B7828" t="s">
        <v>73</v>
      </c>
      <c r="C7828">
        <v>8989697390</v>
      </c>
      <c r="D7828" s="2">
        <v>1</v>
      </c>
      <c r="E7828" t="str">
        <f>"4574674200903425"</f>
        <v>4574674200903425</v>
      </c>
      <c r="F7828" t="str">
        <f>"124"</f>
        <v>124</v>
      </c>
      <c r="G7828">
        <v>1</v>
      </c>
      <c r="H7828">
        <v>2023</v>
      </c>
      <c r="I7828" t="s">
        <v>7943</v>
      </c>
    </row>
    <row r="7829" spans="1:9" x14ac:dyDescent="0.3">
      <c r="A7829" t="s">
        <v>10170</v>
      </c>
      <c r="B7829" t="s">
        <v>73</v>
      </c>
      <c r="C7829">
        <v>8989697390</v>
      </c>
      <c r="D7829" s="2">
        <v>1</v>
      </c>
      <c r="E7829" t="str">
        <f>"4574674200903441"</f>
        <v>4574674200903441</v>
      </c>
      <c r="F7829" t="str">
        <f>"791"</f>
        <v>791</v>
      </c>
      <c r="G7829">
        <v>1</v>
      </c>
      <c r="H7829">
        <v>2023</v>
      </c>
      <c r="I7829" t="s">
        <v>7944</v>
      </c>
    </row>
    <row r="7830" spans="1:9" x14ac:dyDescent="0.3">
      <c r="A7830" t="s">
        <v>10170</v>
      </c>
      <c r="B7830" t="s">
        <v>73</v>
      </c>
      <c r="C7830">
        <v>8989697390</v>
      </c>
      <c r="D7830" s="2">
        <v>1</v>
      </c>
      <c r="E7830" t="str">
        <f>"4574674200903151"</f>
        <v>4574674200903151</v>
      </c>
      <c r="F7830" t="str">
        <f>"210"</f>
        <v>210</v>
      </c>
      <c r="G7830">
        <v>1</v>
      </c>
      <c r="H7830">
        <v>2023</v>
      </c>
      <c r="I7830" t="s">
        <v>7945</v>
      </c>
    </row>
    <row r="7831" spans="1:9" x14ac:dyDescent="0.3">
      <c r="A7831" t="s">
        <v>10170</v>
      </c>
      <c r="B7831" t="s">
        <v>73</v>
      </c>
      <c r="C7831">
        <v>8989697390</v>
      </c>
      <c r="D7831" s="2">
        <v>1</v>
      </c>
      <c r="E7831" t="str">
        <f>"4574674200903482"</f>
        <v>4574674200903482</v>
      </c>
      <c r="F7831" t="str">
        <f>"443"</f>
        <v>443</v>
      </c>
      <c r="G7831">
        <v>1</v>
      </c>
      <c r="H7831">
        <v>2023</v>
      </c>
      <c r="I7831" t="s">
        <v>7946</v>
      </c>
    </row>
    <row r="7832" spans="1:9" x14ac:dyDescent="0.3">
      <c r="A7832" t="s">
        <v>10170</v>
      </c>
      <c r="B7832" t="s">
        <v>73</v>
      </c>
      <c r="C7832">
        <v>8989697390</v>
      </c>
      <c r="D7832" s="2">
        <v>1</v>
      </c>
      <c r="E7832" t="str">
        <f>"4574674200903516"</f>
        <v>4574674200903516</v>
      </c>
      <c r="F7832" t="str">
        <f>"679"</f>
        <v>679</v>
      </c>
      <c r="G7832">
        <v>1</v>
      </c>
      <c r="H7832">
        <v>2023</v>
      </c>
      <c r="I7832" t="s">
        <v>7947</v>
      </c>
    </row>
    <row r="7833" spans="1:9" x14ac:dyDescent="0.3">
      <c r="A7833" t="s">
        <v>10170</v>
      </c>
      <c r="B7833" t="s">
        <v>73</v>
      </c>
      <c r="C7833">
        <v>8989697390</v>
      </c>
      <c r="D7833" s="2">
        <v>1</v>
      </c>
      <c r="E7833" t="str">
        <f>"4574674200903524"</f>
        <v>4574674200903524</v>
      </c>
      <c r="F7833" t="str">
        <f>"988"</f>
        <v>988</v>
      </c>
      <c r="G7833">
        <v>1</v>
      </c>
      <c r="H7833">
        <v>2023</v>
      </c>
      <c r="I7833" t="s">
        <v>7948</v>
      </c>
    </row>
    <row r="7834" spans="1:9" x14ac:dyDescent="0.3">
      <c r="A7834" t="s">
        <v>10170</v>
      </c>
      <c r="B7834" t="s">
        <v>73</v>
      </c>
      <c r="C7834">
        <v>8989697390</v>
      </c>
      <c r="D7834" s="2">
        <v>1</v>
      </c>
      <c r="E7834" t="str">
        <f>"4574674200903615"</f>
        <v>4574674200903615</v>
      </c>
      <c r="F7834" t="str">
        <f>"576"</f>
        <v>576</v>
      </c>
      <c r="G7834">
        <v>1</v>
      </c>
      <c r="H7834">
        <v>2023</v>
      </c>
      <c r="I7834" t="s">
        <v>7949</v>
      </c>
    </row>
    <row r="7835" spans="1:9" x14ac:dyDescent="0.3">
      <c r="A7835" t="s">
        <v>10170</v>
      </c>
      <c r="B7835" t="s">
        <v>73</v>
      </c>
      <c r="C7835">
        <v>8989697390</v>
      </c>
      <c r="D7835" s="2">
        <v>1</v>
      </c>
      <c r="E7835" t="str">
        <f>"4574674200903821"</f>
        <v>4574674200903821</v>
      </c>
      <c r="F7835" t="str">
        <f>"989"</f>
        <v>989</v>
      </c>
      <c r="G7835">
        <v>1</v>
      </c>
      <c r="H7835">
        <v>2023</v>
      </c>
      <c r="I7835" t="s">
        <v>7950</v>
      </c>
    </row>
    <row r="7836" spans="1:9" x14ac:dyDescent="0.3">
      <c r="A7836" t="s">
        <v>10170</v>
      </c>
      <c r="B7836" t="s">
        <v>73</v>
      </c>
      <c r="C7836">
        <v>8989697390</v>
      </c>
      <c r="D7836" s="2">
        <v>1</v>
      </c>
      <c r="E7836" t="str">
        <f>"4574674200903854"</f>
        <v>4574674200903854</v>
      </c>
      <c r="F7836" t="str">
        <f>"014"</f>
        <v>014</v>
      </c>
      <c r="G7836">
        <v>1</v>
      </c>
      <c r="H7836">
        <v>2023</v>
      </c>
      <c r="I7836" t="s">
        <v>7951</v>
      </c>
    </row>
    <row r="7837" spans="1:9" x14ac:dyDescent="0.3">
      <c r="A7837" t="s">
        <v>10171</v>
      </c>
      <c r="B7837" t="s">
        <v>74</v>
      </c>
      <c r="C7837">
        <v>8989697390</v>
      </c>
      <c r="D7837" s="2">
        <v>1</v>
      </c>
      <c r="E7837" t="str">
        <f>"4574674200903698"</f>
        <v>4574674200903698</v>
      </c>
      <c r="F7837" t="str">
        <f>"545"</f>
        <v>545</v>
      </c>
      <c r="G7837">
        <v>1</v>
      </c>
      <c r="H7837">
        <v>2023</v>
      </c>
      <c r="I7837" t="s">
        <v>7952</v>
      </c>
    </row>
    <row r="7838" spans="1:9" x14ac:dyDescent="0.3">
      <c r="A7838" t="s">
        <v>10171</v>
      </c>
      <c r="B7838" t="s">
        <v>74</v>
      </c>
      <c r="C7838">
        <v>8989697390</v>
      </c>
      <c r="D7838" s="2">
        <v>1</v>
      </c>
      <c r="E7838" t="str">
        <f>"4574674200903722"</f>
        <v>4574674200903722</v>
      </c>
      <c r="F7838" t="str">
        <f>"160"</f>
        <v>160</v>
      </c>
      <c r="G7838">
        <v>1</v>
      </c>
      <c r="H7838">
        <v>2023</v>
      </c>
      <c r="I7838" t="s">
        <v>7953</v>
      </c>
    </row>
    <row r="7839" spans="1:9" x14ac:dyDescent="0.3">
      <c r="A7839" t="s">
        <v>10171</v>
      </c>
      <c r="B7839" t="s">
        <v>74</v>
      </c>
      <c r="C7839">
        <v>8989697390</v>
      </c>
      <c r="D7839" s="2">
        <v>1</v>
      </c>
      <c r="E7839" t="str">
        <f>"4574674200903748"</f>
        <v>4574674200903748</v>
      </c>
      <c r="F7839" t="str">
        <f>"302"</f>
        <v>302</v>
      </c>
      <c r="G7839">
        <v>1</v>
      </c>
      <c r="H7839">
        <v>2023</v>
      </c>
      <c r="I7839" t="s">
        <v>7954</v>
      </c>
    </row>
    <row r="7840" spans="1:9" x14ac:dyDescent="0.3">
      <c r="A7840" t="s">
        <v>10171</v>
      </c>
      <c r="B7840" t="s">
        <v>74</v>
      </c>
      <c r="C7840">
        <v>8989697390</v>
      </c>
      <c r="D7840" s="2">
        <v>1</v>
      </c>
      <c r="E7840" t="str">
        <f>"4574674200904589"</f>
        <v>4574674200904589</v>
      </c>
      <c r="F7840" t="str">
        <f>"305"</f>
        <v>305</v>
      </c>
      <c r="G7840">
        <v>1</v>
      </c>
      <c r="H7840">
        <v>2023</v>
      </c>
      <c r="I7840" t="s">
        <v>7955</v>
      </c>
    </row>
    <row r="7841" spans="1:9" x14ac:dyDescent="0.3">
      <c r="A7841" t="s">
        <v>10171</v>
      </c>
      <c r="B7841" t="s">
        <v>74</v>
      </c>
      <c r="C7841">
        <v>8989697390</v>
      </c>
      <c r="D7841" s="2">
        <v>1</v>
      </c>
      <c r="E7841" t="str">
        <f>"4574674200905099"</f>
        <v>4574674200905099</v>
      </c>
      <c r="F7841" t="str">
        <f>"506"</f>
        <v>506</v>
      </c>
      <c r="G7841">
        <v>1</v>
      </c>
      <c r="H7841">
        <v>2023</v>
      </c>
      <c r="I7841" t="s">
        <v>7956</v>
      </c>
    </row>
    <row r="7842" spans="1:9" x14ac:dyDescent="0.3">
      <c r="A7842" t="s">
        <v>10171</v>
      </c>
      <c r="B7842" t="s">
        <v>74</v>
      </c>
      <c r="C7842">
        <v>8989697390</v>
      </c>
      <c r="D7842" s="2">
        <v>1</v>
      </c>
      <c r="E7842" t="str">
        <f>"4574674200904902"</f>
        <v>4574674200904902</v>
      </c>
      <c r="F7842" t="str">
        <f>"965"</f>
        <v>965</v>
      </c>
      <c r="G7842">
        <v>1</v>
      </c>
      <c r="H7842">
        <v>2023</v>
      </c>
      <c r="I7842" t="s">
        <v>7957</v>
      </c>
    </row>
    <row r="7843" spans="1:9" x14ac:dyDescent="0.3">
      <c r="A7843" t="s">
        <v>10171</v>
      </c>
      <c r="B7843" t="s">
        <v>74</v>
      </c>
      <c r="C7843">
        <v>8989697390</v>
      </c>
      <c r="D7843" s="2">
        <v>1</v>
      </c>
      <c r="E7843" t="str">
        <f>"4574674200905206"</f>
        <v>4574674200905206</v>
      </c>
      <c r="F7843" t="str">
        <f>"492"</f>
        <v>492</v>
      </c>
      <c r="G7843">
        <v>1</v>
      </c>
      <c r="H7843">
        <v>2023</v>
      </c>
      <c r="I7843" t="s">
        <v>7958</v>
      </c>
    </row>
    <row r="7844" spans="1:9" x14ac:dyDescent="0.3">
      <c r="A7844" t="s">
        <v>10171</v>
      </c>
      <c r="B7844" t="s">
        <v>74</v>
      </c>
      <c r="C7844">
        <v>8989697390</v>
      </c>
      <c r="D7844" s="2">
        <v>1</v>
      </c>
      <c r="E7844" t="str">
        <f>"4574674200905222"</f>
        <v>4574674200905222</v>
      </c>
      <c r="F7844" t="str">
        <f>"438"</f>
        <v>438</v>
      </c>
      <c r="G7844">
        <v>1</v>
      </c>
      <c r="H7844">
        <v>2023</v>
      </c>
      <c r="I7844" t="s">
        <v>7959</v>
      </c>
    </row>
    <row r="7845" spans="1:9" x14ac:dyDescent="0.3">
      <c r="A7845" t="s">
        <v>10171</v>
      </c>
      <c r="B7845" t="s">
        <v>74</v>
      </c>
      <c r="C7845">
        <v>8989697390</v>
      </c>
      <c r="D7845" s="2">
        <v>1</v>
      </c>
      <c r="E7845" t="str">
        <f>"4574674200905248"</f>
        <v>4574674200905248</v>
      </c>
      <c r="F7845" t="str">
        <f>"334"</f>
        <v>334</v>
      </c>
      <c r="G7845">
        <v>1</v>
      </c>
      <c r="H7845">
        <v>2023</v>
      </c>
      <c r="I7845" t="s">
        <v>7960</v>
      </c>
    </row>
    <row r="7846" spans="1:9" x14ac:dyDescent="0.3">
      <c r="A7846" t="s">
        <v>10171</v>
      </c>
      <c r="B7846" t="s">
        <v>74</v>
      </c>
      <c r="C7846">
        <v>8989697390</v>
      </c>
      <c r="D7846" s="2">
        <v>1</v>
      </c>
      <c r="E7846" t="str">
        <f>"4574674200905305"</f>
        <v>4574674200905305</v>
      </c>
      <c r="F7846" t="str">
        <f>"381"</f>
        <v>381</v>
      </c>
      <c r="G7846">
        <v>1</v>
      </c>
      <c r="H7846">
        <v>2023</v>
      </c>
      <c r="I7846" t="s">
        <v>7961</v>
      </c>
    </row>
    <row r="7847" spans="1:9" x14ac:dyDescent="0.3">
      <c r="A7847" t="s">
        <v>10136</v>
      </c>
      <c r="B7847" t="s">
        <v>81</v>
      </c>
      <c r="C7847">
        <v>9406582649</v>
      </c>
      <c r="D7847" s="2">
        <v>1</v>
      </c>
      <c r="E7847" t="str">
        <f>"4574674200905297"</f>
        <v>4574674200905297</v>
      </c>
      <c r="F7847" t="str">
        <f>"543"</f>
        <v>543</v>
      </c>
      <c r="G7847">
        <v>1</v>
      </c>
      <c r="H7847">
        <v>2023</v>
      </c>
      <c r="I7847" t="s">
        <v>7962</v>
      </c>
    </row>
    <row r="7848" spans="1:9" x14ac:dyDescent="0.3">
      <c r="A7848" t="s">
        <v>10136</v>
      </c>
      <c r="B7848" t="s">
        <v>81</v>
      </c>
      <c r="C7848">
        <v>9406582649</v>
      </c>
      <c r="D7848" s="2">
        <v>1</v>
      </c>
      <c r="E7848" t="str">
        <f>"4574674200905339"</f>
        <v>4574674200905339</v>
      </c>
      <c r="F7848" t="str">
        <f>"444"</f>
        <v>444</v>
      </c>
      <c r="G7848">
        <v>1</v>
      </c>
      <c r="H7848">
        <v>2023</v>
      </c>
      <c r="I7848" t="s">
        <v>7963</v>
      </c>
    </row>
    <row r="7849" spans="1:9" x14ac:dyDescent="0.3">
      <c r="A7849" t="s">
        <v>10136</v>
      </c>
      <c r="B7849" t="s">
        <v>81</v>
      </c>
      <c r="C7849">
        <v>9406582649</v>
      </c>
      <c r="D7849" s="2">
        <v>1</v>
      </c>
      <c r="E7849" t="str">
        <f>"4574674200905412"</f>
        <v>4574674200905412</v>
      </c>
      <c r="F7849" t="str">
        <f>"162"</f>
        <v>162</v>
      </c>
      <c r="G7849">
        <v>1</v>
      </c>
      <c r="H7849">
        <v>2023</v>
      </c>
      <c r="I7849" t="s">
        <v>7964</v>
      </c>
    </row>
    <row r="7850" spans="1:9" x14ac:dyDescent="0.3">
      <c r="A7850" t="s">
        <v>10136</v>
      </c>
      <c r="B7850" t="s">
        <v>81</v>
      </c>
      <c r="C7850">
        <v>9406582649</v>
      </c>
      <c r="D7850" s="2">
        <v>1</v>
      </c>
      <c r="E7850" t="str">
        <f>"4574674200905362"</f>
        <v>4574674200905362</v>
      </c>
      <c r="F7850" t="str">
        <f>"759"</f>
        <v>759</v>
      </c>
      <c r="G7850">
        <v>1</v>
      </c>
      <c r="H7850">
        <v>2023</v>
      </c>
      <c r="I7850" t="s">
        <v>7965</v>
      </c>
    </row>
    <row r="7851" spans="1:9" x14ac:dyDescent="0.3">
      <c r="A7851" t="s">
        <v>10136</v>
      </c>
      <c r="B7851" t="s">
        <v>81</v>
      </c>
      <c r="C7851">
        <v>9406582649</v>
      </c>
      <c r="D7851" s="2">
        <v>1</v>
      </c>
      <c r="E7851" t="str">
        <f>"4574674200905370"</f>
        <v>4574674200905370</v>
      </c>
      <c r="F7851" t="str">
        <f>"251"</f>
        <v>251</v>
      </c>
      <c r="G7851">
        <v>1</v>
      </c>
      <c r="H7851">
        <v>2023</v>
      </c>
      <c r="I7851" t="s">
        <v>7966</v>
      </c>
    </row>
    <row r="7852" spans="1:9" x14ac:dyDescent="0.3">
      <c r="A7852" t="s">
        <v>10136</v>
      </c>
      <c r="B7852" t="s">
        <v>81</v>
      </c>
      <c r="C7852">
        <v>9406582649</v>
      </c>
      <c r="D7852" s="2">
        <v>1</v>
      </c>
      <c r="E7852" t="str">
        <f>"4574674200905388"</f>
        <v>4574674200905388</v>
      </c>
      <c r="F7852" t="str">
        <f>"467"</f>
        <v>467</v>
      </c>
      <c r="G7852">
        <v>1</v>
      </c>
      <c r="H7852">
        <v>2023</v>
      </c>
      <c r="I7852" t="s">
        <v>7967</v>
      </c>
    </row>
    <row r="7853" spans="1:9" x14ac:dyDescent="0.3">
      <c r="A7853" t="s">
        <v>10136</v>
      </c>
      <c r="B7853" t="s">
        <v>81</v>
      </c>
      <c r="C7853">
        <v>9406582649</v>
      </c>
      <c r="D7853" s="2">
        <v>1</v>
      </c>
      <c r="E7853" t="str">
        <f>"4574674200905610"</f>
        <v>4574674200905610</v>
      </c>
      <c r="F7853" t="str">
        <f>"335"</f>
        <v>335</v>
      </c>
      <c r="G7853">
        <v>1</v>
      </c>
      <c r="H7853">
        <v>2023</v>
      </c>
      <c r="I7853" t="s">
        <v>7968</v>
      </c>
    </row>
    <row r="7854" spans="1:9" x14ac:dyDescent="0.3">
      <c r="A7854" t="s">
        <v>10136</v>
      </c>
      <c r="B7854" t="s">
        <v>81</v>
      </c>
      <c r="C7854">
        <v>9406582649</v>
      </c>
      <c r="D7854" s="2">
        <v>1</v>
      </c>
      <c r="E7854" t="str">
        <f>"4574674200905628"</f>
        <v>4574674200905628</v>
      </c>
      <c r="F7854" t="str">
        <f>"978"</f>
        <v>978</v>
      </c>
      <c r="G7854">
        <v>1</v>
      </c>
      <c r="H7854">
        <v>2023</v>
      </c>
      <c r="I7854" t="s">
        <v>7969</v>
      </c>
    </row>
    <row r="7855" spans="1:9" x14ac:dyDescent="0.3">
      <c r="A7855" t="s">
        <v>10136</v>
      </c>
      <c r="B7855" t="s">
        <v>81</v>
      </c>
      <c r="C7855">
        <v>9406582649</v>
      </c>
      <c r="D7855" s="2">
        <v>1</v>
      </c>
      <c r="E7855" t="str">
        <f>"4574674200905677"</f>
        <v>4574674200905677</v>
      </c>
      <c r="F7855" t="str">
        <f>"732"</f>
        <v>732</v>
      </c>
      <c r="G7855">
        <v>1</v>
      </c>
      <c r="H7855">
        <v>2023</v>
      </c>
      <c r="I7855" t="s">
        <v>7970</v>
      </c>
    </row>
    <row r="7856" spans="1:9" x14ac:dyDescent="0.3">
      <c r="A7856" t="s">
        <v>10136</v>
      </c>
      <c r="B7856" t="s">
        <v>81</v>
      </c>
      <c r="C7856">
        <v>9406582649</v>
      </c>
      <c r="D7856" s="2">
        <v>1</v>
      </c>
      <c r="E7856" t="str">
        <f>"4574674200905727"</f>
        <v>4574674200905727</v>
      </c>
      <c r="F7856" t="str">
        <f>"101"</f>
        <v>101</v>
      </c>
      <c r="G7856">
        <v>1</v>
      </c>
      <c r="H7856">
        <v>2023</v>
      </c>
      <c r="I7856" t="s">
        <v>7971</v>
      </c>
    </row>
    <row r="7857" spans="1:9" x14ac:dyDescent="0.3">
      <c r="A7857" t="s">
        <v>10137</v>
      </c>
      <c r="B7857" t="s">
        <v>82</v>
      </c>
      <c r="C7857">
        <v>9406582649</v>
      </c>
      <c r="D7857" s="2">
        <v>1</v>
      </c>
      <c r="E7857" t="str">
        <f>"4574674200905735"</f>
        <v>4574674200905735</v>
      </c>
      <c r="F7857" t="str">
        <f>"622"</f>
        <v>622</v>
      </c>
      <c r="G7857">
        <v>1</v>
      </c>
      <c r="H7857">
        <v>2023</v>
      </c>
      <c r="I7857" t="s">
        <v>7972</v>
      </c>
    </row>
    <row r="7858" spans="1:9" x14ac:dyDescent="0.3">
      <c r="A7858" t="s">
        <v>10137</v>
      </c>
      <c r="B7858" t="s">
        <v>82</v>
      </c>
      <c r="C7858">
        <v>9406582649</v>
      </c>
      <c r="D7858" s="2">
        <v>1</v>
      </c>
      <c r="E7858" t="str">
        <f>"4574674200905743"</f>
        <v>4574674200905743</v>
      </c>
      <c r="F7858" t="str">
        <f>"605"</f>
        <v>605</v>
      </c>
      <c r="G7858">
        <v>1</v>
      </c>
      <c r="H7858">
        <v>2023</v>
      </c>
      <c r="I7858" t="s">
        <v>7973</v>
      </c>
    </row>
    <row r="7859" spans="1:9" x14ac:dyDescent="0.3">
      <c r="A7859" t="s">
        <v>10137</v>
      </c>
      <c r="B7859" t="s">
        <v>82</v>
      </c>
      <c r="C7859">
        <v>9406582649</v>
      </c>
      <c r="D7859" s="2">
        <v>1</v>
      </c>
      <c r="E7859" t="str">
        <f>"4574674200905750"</f>
        <v>4574674200905750</v>
      </c>
      <c r="F7859" t="str">
        <f>"517"</f>
        <v>517</v>
      </c>
      <c r="G7859">
        <v>1</v>
      </c>
      <c r="H7859">
        <v>2023</v>
      </c>
      <c r="I7859" t="s">
        <v>7974</v>
      </c>
    </row>
    <row r="7860" spans="1:9" x14ac:dyDescent="0.3">
      <c r="A7860" t="s">
        <v>10137</v>
      </c>
      <c r="B7860" t="s">
        <v>82</v>
      </c>
      <c r="C7860">
        <v>9406582649</v>
      </c>
      <c r="D7860" s="2">
        <v>1</v>
      </c>
      <c r="E7860" t="str">
        <f>"4574674200905768"</f>
        <v>4574674200905768</v>
      </c>
      <c r="F7860" t="str">
        <f>"772"</f>
        <v>772</v>
      </c>
      <c r="G7860">
        <v>1</v>
      </c>
      <c r="H7860">
        <v>2023</v>
      </c>
      <c r="I7860" t="s">
        <v>7975</v>
      </c>
    </row>
    <row r="7861" spans="1:9" x14ac:dyDescent="0.3">
      <c r="A7861" t="s">
        <v>10137</v>
      </c>
      <c r="B7861" t="s">
        <v>82</v>
      </c>
      <c r="C7861">
        <v>9406582649</v>
      </c>
      <c r="D7861" s="2">
        <v>1</v>
      </c>
      <c r="E7861" t="str">
        <f>"4574674200905529"</f>
        <v>4574674200905529</v>
      </c>
      <c r="F7861" t="str">
        <f>"321"</f>
        <v>321</v>
      </c>
      <c r="G7861">
        <v>1</v>
      </c>
      <c r="H7861">
        <v>2023</v>
      </c>
      <c r="I7861" t="s">
        <v>7976</v>
      </c>
    </row>
    <row r="7862" spans="1:9" x14ac:dyDescent="0.3">
      <c r="A7862" t="s">
        <v>10137</v>
      </c>
      <c r="B7862" t="s">
        <v>82</v>
      </c>
      <c r="C7862">
        <v>9406582649</v>
      </c>
      <c r="D7862" s="2">
        <v>1</v>
      </c>
      <c r="E7862" t="str">
        <f>"4574674200905834"</f>
        <v>4574674200905834</v>
      </c>
      <c r="F7862" t="str">
        <f>"993"</f>
        <v>993</v>
      </c>
      <c r="G7862">
        <v>1</v>
      </c>
      <c r="H7862">
        <v>2023</v>
      </c>
      <c r="I7862" t="s">
        <v>7977</v>
      </c>
    </row>
    <row r="7863" spans="1:9" x14ac:dyDescent="0.3">
      <c r="A7863" t="s">
        <v>10137</v>
      </c>
      <c r="B7863" t="s">
        <v>82</v>
      </c>
      <c r="C7863">
        <v>9406582649</v>
      </c>
      <c r="D7863" s="2">
        <v>1</v>
      </c>
      <c r="E7863" t="str">
        <f>"4574674200905891"</f>
        <v>4574674200905891</v>
      </c>
      <c r="F7863" t="str">
        <f>"782"</f>
        <v>782</v>
      </c>
      <c r="G7863">
        <v>1</v>
      </c>
      <c r="H7863">
        <v>2023</v>
      </c>
      <c r="I7863" t="s">
        <v>7978</v>
      </c>
    </row>
    <row r="7864" spans="1:9" x14ac:dyDescent="0.3">
      <c r="A7864" t="s">
        <v>10137</v>
      </c>
      <c r="B7864" t="s">
        <v>82</v>
      </c>
      <c r="C7864">
        <v>9406582649</v>
      </c>
      <c r="D7864" s="2">
        <v>1</v>
      </c>
      <c r="E7864" t="str">
        <f>"4574674200905909"</f>
        <v>4574674200905909</v>
      </c>
      <c r="F7864" t="str">
        <f>"529"</f>
        <v>529</v>
      </c>
      <c r="G7864">
        <v>1</v>
      </c>
      <c r="H7864">
        <v>2023</v>
      </c>
      <c r="I7864" t="s">
        <v>7979</v>
      </c>
    </row>
    <row r="7865" spans="1:9" x14ac:dyDescent="0.3">
      <c r="A7865" t="s">
        <v>10137</v>
      </c>
      <c r="B7865" t="s">
        <v>82</v>
      </c>
      <c r="C7865">
        <v>9406582649</v>
      </c>
      <c r="D7865" s="2">
        <v>1</v>
      </c>
      <c r="E7865" t="str">
        <f>"4574674200905883"</f>
        <v>4574674200905883</v>
      </c>
      <c r="F7865" t="str">
        <f>"571"</f>
        <v>571</v>
      </c>
      <c r="G7865">
        <v>1</v>
      </c>
      <c r="H7865">
        <v>2023</v>
      </c>
      <c r="I7865" t="s">
        <v>7980</v>
      </c>
    </row>
    <row r="7866" spans="1:9" x14ac:dyDescent="0.3">
      <c r="A7866" t="s">
        <v>10137</v>
      </c>
      <c r="B7866" t="s">
        <v>82</v>
      </c>
      <c r="C7866">
        <v>9406582649</v>
      </c>
      <c r="D7866" s="2">
        <v>1</v>
      </c>
      <c r="E7866" t="str">
        <f>"4574674200905925"</f>
        <v>4574674200905925</v>
      </c>
      <c r="F7866" t="str">
        <f>"025"</f>
        <v>025</v>
      </c>
      <c r="G7866">
        <v>1</v>
      </c>
      <c r="H7866">
        <v>2023</v>
      </c>
      <c r="I7866" t="s">
        <v>7981</v>
      </c>
    </row>
    <row r="7867" spans="1:9" x14ac:dyDescent="0.3">
      <c r="A7867" t="s">
        <v>10138</v>
      </c>
      <c r="B7867" t="s">
        <v>83</v>
      </c>
      <c r="C7867">
        <v>9406582649</v>
      </c>
      <c r="D7867" s="2">
        <v>1</v>
      </c>
      <c r="E7867" t="str">
        <f>"4574674200905933"</f>
        <v>4574674200905933</v>
      </c>
      <c r="F7867" t="str">
        <f>"863"</f>
        <v>863</v>
      </c>
      <c r="G7867">
        <v>1</v>
      </c>
      <c r="H7867">
        <v>2023</v>
      </c>
      <c r="I7867" t="s">
        <v>7982</v>
      </c>
    </row>
    <row r="7868" spans="1:9" x14ac:dyDescent="0.3">
      <c r="A7868" t="s">
        <v>10138</v>
      </c>
      <c r="B7868" t="s">
        <v>83</v>
      </c>
      <c r="C7868">
        <v>9406582649</v>
      </c>
      <c r="D7868" s="2">
        <v>1</v>
      </c>
      <c r="E7868" t="str">
        <f>"4574674200905990"</f>
        <v>4574674200905990</v>
      </c>
      <c r="F7868" t="str">
        <f>"852"</f>
        <v>852</v>
      </c>
      <c r="G7868">
        <v>1</v>
      </c>
      <c r="H7868">
        <v>2023</v>
      </c>
      <c r="I7868" t="s">
        <v>7983</v>
      </c>
    </row>
    <row r="7869" spans="1:9" x14ac:dyDescent="0.3">
      <c r="A7869" t="s">
        <v>10138</v>
      </c>
      <c r="B7869" t="s">
        <v>83</v>
      </c>
      <c r="C7869">
        <v>9406582649</v>
      </c>
      <c r="D7869" s="2">
        <v>1</v>
      </c>
      <c r="E7869" t="str">
        <f>"4574674200906212"</f>
        <v>4574674200906212</v>
      </c>
      <c r="F7869" t="str">
        <f>"177"</f>
        <v>177</v>
      </c>
      <c r="G7869">
        <v>1</v>
      </c>
      <c r="H7869">
        <v>2023</v>
      </c>
      <c r="I7869" t="s">
        <v>7984</v>
      </c>
    </row>
    <row r="7870" spans="1:9" x14ac:dyDescent="0.3">
      <c r="A7870" t="s">
        <v>10138</v>
      </c>
      <c r="B7870" t="s">
        <v>83</v>
      </c>
      <c r="C7870">
        <v>9406582649</v>
      </c>
      <c r="D7870" s="2">
        <v>1</v>
      </c>
      <c r="E7870" t="str">
        <f>"4574674200906220"</f>
        <v>4574674200906220</v>
      </c>
      <c r="F7870" t="str">
        <f>"373"</f>
        <v>373</v>
      </c>
      <c r="G7870">
        <v>1</v>
      </c>
      <c r="H7870">
        <v>2023</v>
      </c>
      <c r="I7870" t="s">
        <v>7985</v>
      </c>
    </row>
    <row r="7871" spans="1:9" x14ac:dyDescent="0.3">
      <c r="A7871" t="s">
        <v>10138</v>
      </c>
      <c r="B7871" t="s">
        <v>83</v>
      </c>
      <c r="C7871">
        <v>9406582649</v>
      </c>
      <c r="D7871" s="2">
        <v>1</v>
      </c>
      <c r="E7871" t="str">
        <f>"4574674200906253"</f>
        <v>4574674200906253</v>
      </c>
      <c r="F7871" t="str">
        <f>"607"</f>
        <v>607</v>
      </c>
      <c r="G7871">
        <v>1</v>
      </c>
      <c r="H7871">
        <v>2023</v>
      </c>
      <c r="I7871" t="s">
        <v>7986</v>
      </c>
    </row>
    <row r="7872" spans="1:9" x14ac:dyDescent="0.3">
      <c r="A7872" t="s">
        <v>10138</v>
      </c>
      <c r="B7872" t="s">
        <v>83</v>
      </c>
      <c r="C7872">
        <v>9406582649</v>
      </c>
      <c r="D7872" s="2">
        <v>1</v>
      </c>
      <c r="E7872" t="str">
        <f>"4574674200906279"</f>
        <v>4574674200906279</v>
      </c>
      <c r="F7872" t="str">
        <f>"865"</f>
        <v>865</v>
      </c>
      <c r="G7872">
        <v>1</v>
      </c>
      <c r="H7872">
        <v>2023</v>
      </c>
      <c r="I7872" t="s">
        <v>7987</v>
      </c>
    </row>
    <row r="7873" spans="1:9" x14ac:dyDescent="0.3">
      <c r="A7873" t="s">
        <v>10138</v>
      </c>
      <c r="B7873" t="s">
        <v>83</v>
      </c>
      <c r="C7873">
        <v>9406582649</v>
      </c>
      <c r="D7873" s="2">
        <v>1</v>
      </c>
      <c r="E7873" t="str">
        <f>"4574674200906295"</f>
        <v>4574674200906295</v>
      </c>
      <c r="F7873" t="str">
        <f>"040"</f>
        <v>040</v>
      </c>
      <c r="G7873">
        <v>1</v>
      </c>
      <c r="H7873">
        <v>2023</v>
      </c>
      <c r="I7873" t="s">
        <v>7988</v>
      </c>
    </row>
    <row r="7874" spans="1:9" x14ac:dyDescent="0.3">
      <c r="A7874" t="s">
        <v>10138</v>
      </c>
      <c r="B7874" t="s">
        <v>83</v>
      </c>
      <c r="C7874">
        <v>9406582649</v>
      </c>
      <c r="D7874" s="2">
        <v>1</v>
      </c>
      <c r="E7874" t="str">
        <f>"4574674200906048"</f>
        <v>4574674200906048</v>
      </c>
      <c r="F7874" t="str">
        <f>"717"</f>
        <v>717</v>
      </c>
      <c r="G7874">
        <v>1</v>
      </c>
      <c r="H7874">
        <v>2023</v>
      </c>
      <c r="I7874" t="s">
        <v>7989</v>
      </c>
    </row>
    <row r="7875" spans="1:9" x14ac:dyDescent="0.3">
      <c r="A7875" t="s">
        <v>10138</v>
      </c>
      <c r="B7875" t="s">
        <v>83</v>
      </c>
      <c r="C7875">
        <v>9406582649</v>
      </c>
      <c r="D7875" s="2">
        <v>1</v>
      </c>
      <c r="E7875" t="str">
        <f>"4574674200906352"</f>
        <v>4574674200906352</v>
      </c>
      <c r="F7875" t="str">
        <f>"514"</f>
        <v>514</v>
      </c>
      <c r="G7875">
        <v>1</v>
      </c>
      <c r="H7875">
        <v>2023</v>
      </c>
      <c r="I7875" t="s">
        <v>7990</v>
      </c>
    </row>
    <row r="7876" spans="1:9" x14ac:dyDescent="0.3">
      <c r="A7876" t="s">
        <v>10138</v>
      </c>
      <c r="B7876" t="s">
        <v>83</v>
      </c>
      <c r="C7876">
        <v>9406582649</v>
      </c>
      <c r="D7876" s="2">
        <v>1</v>
      </c>
      <c r="E7876" t="str">
        <f>"4574674200906378"</f>
        <v>4574674200906378</v>
      </c>
      <c r="F7876" t="str">
        <f>"368"</f>
        <v>368</v>
      </c>
      <c r="G7876">
        <v>1</v>
      </c>
      <c r="H7876">
        <v>2023</v>
      </c>
      <c r="I7876" t="s">
        <v>7991</v>
      </c>
    </row>
    <row r="7877" spans="1:9" x14ac:dyDescent="0.3">
      <c r="A7877" t="s">
        <v>10139</v>
      </c>
      <c r="B7877" t="s">
        <v>84</v>
      </c>
      <c r="C7877">
        <v>9406582649</v>
      </c>
      <c r="D7877" s="2">
        <v>1</v>
      </c>
      <c r="E7877" t="str">
        <f>"4574674200906394"</f>
        <v>4574674200906394</v>
      </c>
      <c r="F7877" t="str">
        <f>"235"</f>
        <v>235</v>
      </c>
      <c r="G7877">
        <v>1</v>
      </c>
      <c r="H7877">
        <v>2023</v>
      </c>
      <c r="I7877" t="s">
        <v>7992</v>
      </c>
    </row>
    <row r="7878" spans="1:9" x14ac:dyDescent="0.3">
      <c r="A7878" t="s">
        <v>10139</v>
      </c>
      <c r="B7878" t="s">
        <v>84</v>
      </c>
      <c r="C7878">
        <v>9406582649</v>
      </c>
      <c r="D7878" s="2">
        <v>1</v>
      </c>
      <c r="E7878" t="str">
        <f>"4574674200906436"</f>
        <v>4574674200906436</v>
      </c>
      <c r="F7878" t="str">
        <f>"576"</f>
        <v>576</v>
      </c>
      <c r="G7878">
        <v>1</v>
      </c>
      <c r="H7878">
        <v>2023</v>
      </c>
      <c r="I7878" t="s">
        <v>7993</v>
      </c>
    </row>
    <row r="7879" spans="1:9" x14ac:dyDescent="0.3">
      <c r="A7879" t="s">
        <v>10139</v>
      </c>
      <c r="B7879" t="s">
        <v>84</v>
      </c>
      <c r="C7879">
        <v>9406582649</v>
      </c>
      <c r="D7879" s="2">
        <v>1</v>
      </c>
      <c r="E7879" t="str">
        <f>"4574674200906444"</f>
        <v>4574674200906444</v>
      </c>
      <c r="F7879" t="str">
        <f>"155"</f>
        <v>155</v>
      </c>
      <c r="G7879">
        <v>1</v>
      </c>
      <c r="H7879">
        <v>2023</v>
      </c>
      <c r="I7879" t="s">
        <v>7994</v>
      </c>
    </row>
    <row r="7880" spans="1:9" x14ac:dyDescent="0.3">
      <c r="A7880" t="s">
        <v>10139</v>
      </c>
      <c r="B7880" t="s">
        <v>84</v>
      </c>
      <c r="C7880">
        <v>9406582649</v>
      </c>
      <c r="D7880" s="2">
        <v>1</v>
      </c>
      <c r="E7880" t="str">
        <f>"4574674200906469"</f>
        <v>4574674200906469</v>
      </c>
      <c r="F7880" t="str">
        <f>"928"</f>
        <v>928</v>
      </c>
      <c r="G7880">
        <v>1</v>
      </c>
      <c r="H7880">
        <v>2023</v>
      </c>
      <c r="I7880" t="s">
        <v>7995</v>
      </c>
    </row>
    <row r="7881" spans="1:9" x14ac:dyDescent="0.3">
      <c r="A7881" t="s">
        <v>10139</v>
      </c>
      <c r="B7881" t="s">
        <v>84</v>
      </c>
      <c r="C7881">
        <v>9406582649</v>
      </c>
      <c r="D7881" s="2">
        <v>1</v>
      </c>
      <c r="E7881" t="str">
        <f>"4574674200906519"</f>
        <v>4574674200906519</v>
      </c>
      <c r="F7881" t="str">
        <f>"683"</f>
        <v>683</v>
      </c>
      <c r="G7881">
        <v>1</v>
      </c>
      <c r="H7881">
        <v>2023</v>
      </c>
      <c r="I7881" t="s">
        <v>7996</v>
      </c>
    </row>
    <row r="7882" spans="1:9" x14ac:dyDescent="0.3">
      <c r="A7882" t="s">
        <v>10139</v>
      </c>
      <c r="B7882" t="s">
        <v>84</v>
      </c>
      <c r="C7882">
        <v>9406582649</v>
      </c>
      <c r="D7882" s="2">
        <v>1</v>
      </c>
      <c r="E7882" t="str">
        <f>"4574674200906535"</f>
        <v>4574674200906535</v>
      </c>
      <c r="F7882" t="str">
        <f>"222"</f>
        <v>222</v>
      </c>
      <c r="G7882">
        <v>1</v>
      </c>
      <c r="H7882">
        <v>2023</v>
      </c>
      <c r="I7882" t="s">
        <v>7997</v>
      </c>
    </row>
    <row r="7883" spans="1:9" x14ac:dyDescent="0.3">
      <c r="A7883" t="s">
        <v>10139</v>
      </c>
      <c r="B7883" t="s">
        <v>84</v>
      </c>
      <c r="C7883">
        <v>9406582649</v>
      </c>
      <c r="D7883" s="2">
        <v>1</v>
      </c>
      <c r="E7883" t="str">
        <f>"4574674200906543"</f>
        <v>4574674200906543</v>
      </c>
      <c r="F7883" t="str">
        <f>"250"</f>
        <v>250</v>
      </c>
      <c r="G7883">
        <v>1</v>
      </c>
      <c r="H7883">
        <v>2023</v>
      </c>
      <c r="I7883" t="s">
        <v>7998</v>
      </c>
    </row>
    <row r="7884" spans="1:9" x14ac:dyDescent="0.3">
      <c r="A7884" t="s">
        <v>10139</v>
      </c>
      <c r="B7884" t="s">
        <v>84</v>
      </c>
      <c r="C7884">
        <v>9406582649</v>
      </c>
      <c r="D7884" s="2">
        <v>1</v>
      </c>
      <c r="E7884" t="str">
        <f>"4574674200906170"</f>
        <v>4574674200906170</v>
      </c>
      <c r="F7884" t="str">
        <f>"266"</f>
        <v>266</v>
      </c>
      <c r="G7884">
        <v>1</v>
      </c>
      <c r="H7884">
        <v>2023</v>
      </c>
      <c r="I7884" t="s">
        <v>7999</v>
      </c>
    </row>
    <row r="7885" spans="1:9" x14ac:dyDescent="0.3">
      <c r="A7885" t="s">
        <v>10139</v>
      </c>
      <c r="B7885" t="s">
        <v>84</v>
      </c>
      <c r="C7885">
        <v>9406582649</v>
      </c>
      <c r="D7885" s="2">
        <v>1</v>
      </c>
      <c r="E7885" t="str">
        <f>"4574674200906584"</f>
        <v>4574674200906584</v>
      </c>
      <c r="F7885" t="str">
        <f>"125"</f>
        <v>125</v>
      </c>
      <c r="G7885">
        <v>1</v>
      </c>
      <c r="H7885">
        <v>2023</v>
      </c>
      <c r="I7885" t="s">
        <v>8000</v>
      </c>
    </row>
    <row r="7886" spans="1:9" x14ac:dyDescent="0.3">
      <c r="A7886" t="s">
        <v>10139</v>
      </c>
      <c r="B7886" t="s">
        <v>84</v>
      </c>
      <c r="C7886">
        <v>9406582649</v>
      </c>
      <c r="D7886" s="2">
        <v>1</v>
      </c>
      <c r="E7886" t="str">
        <f>"4574674200906592"</f>
        <v>4574674200906592</v>
      </c>
      <c r="F7886" t="str">
        <f>"398"</f>
        <v>398</v>
      </c>
      <c r="G7886">
        <v>1</v>
      </c>
      <c r="H7886">
        <v>2023</v>
      </c>
      <c r="I7886" t="s">
        <v>8001</v>
      </c>
    </row>
    <row r="7887" spans="1:9" x14ac:dyDescent="0.3">
      <c r="A7887" t="s">
        <v>10138</v>
      </c>
      <c r="B7887" t="s">
        <v>83</v>
      </c>
      <c r="C7887">
        <v>9406582649</v>
      </c>
      <c r="D7887" s="2">
        <v>1</v>
      </c>
      <c r="E7887" t="str">
        <f>"4574674200906626"</f>
        <v>4574674200906626</v>
      </c>
      <c r="F7887" t="str">
        <f>"004"</f>
        <v>004</v>
      </c>
      <c r="G7887">
        <v>1</v>
      </c>
      <c r="H7887">
        <v>2023</v>
      </c>
      <c r="I7887" t="s">
        <v>8002</v>
      </c>
    </row>
    <row r="7888" spans="1:9" x14ac:dyDescent="0.3">
      <c r="A7888" t="s">
        <v>10138</v>
      </c>
      <c r="B7888" t="s">
        <v>83</v>
      </c>
      <c r="C7888">
        <v>9406582649</v>
      </c>
      <c r="D7888" s="2">
        <v>1</v>
      </c>
      <c r="E7888" t="str">
        <f>"4574674200906667"</f>
        <v>4574674200906667</v>
      </c>
      <c r="F7888" t="str">
        <f>"815"</f>
        <v>815</v>
      </c>
      <c r="G7888">
        <v>1</v>
      </c>
      <c r="H7888">
        <v>2023</v>
      </c>
      <c r="I7888" t="s">
        <v>8003</v>
      </c>
    </row>
    <row r="7889" spans="1:9" x14ac:dyDescent="0.3">
      <c r="A7889" t="s">
        <v>10138</v>
      </c>
      <c r="B7889" t="s">
        <v>83</v>
      </c>
      <c r="C7889">
        <v>9406582649</v>
      </c>
      <c r="D7889" s="2">
        <v>1</v>
      </c>
      <c r="E7889" t="str">
        <f>"4574674200906675"</f>
        <v>4574674200906675</v>
      </c>
      <c r="F7889" t="str">
        <f>"334"</f>
        <v>334</v>
      </c>
      <c r="G7889">
        <v>1</v>
      </c>
      <c r="H7889">
        <v>2023</v>
      </c>
      <c r="I7889" t="s">
        <v>8004</v>
      </c>
    </row>
    <row r="7890" spans="1:9" x14ac:dyDescent="0.3">
      <c r="A7890" t="s">
        <v>10138</v>
      </c>
      <c r="B7890" t="s">
        <v>83</v>
      </c>
      <c r="C7890">
        <v>9406582649</v>
      </c>
      <c r="D7890" s="2">
        <v>1</v>
      </c>
      <c r="E7890" t="str">
        <f>"4574674200906709"</f>
        <v>4574674200906709</v>
      </c>
      <c r="F7890" t="str">
        <f>"432"</f>
        <v>432</v>
      </c>
      <c r="G7890">
        <v>1</v>
      </c>
      <c r="H7890">
        <v>2023</v>
      </c>
      <c r="I7890" t="s">
        <v>8005</v>
      </c>
    </row>
    <row r="7891" spans="1:9" x14ac:dyDescent="0.3">
      <c r="A7891" t="s">
        <v>10138</v>
      </c>
      <c r="B7891" t="s">
        <v>83</v>
      </c>
      <c r="C7891">
        <v>9406582649</v>
      </c>
      <c r="D7891" s="2">
        <v>1</v>
      </c>
      <c r="E7891" t="str">
        <f>"4574674200906774"</f>
        <v>4574674200906774</v>
      </c>
      <c r="F7891" t="str">
        <f>"578"</f>
        <v>578</v>
      </c>
      <c r="G7891">
        <v>1</v>
      </c>
      <c r="H7891">
        <v>2023</v>
      </c>
      <c r="I7891" t="s">
        <v>8006</v>
      </c>
    </row>
    <row r="7892" spans="1:9" x14ac:dyDescent="0.3">
      <c r="A7892" t="s">
        <v>10138</v>
      </c>
      <c r="B7892" t="s">
        <v>83</v>
      </c>
      <c r="C7892">
        <v>9406582649</v>
      </c>
      <c r="D7892" s="2">
        <v>1</v>
      </c>
      <c r="E7892" t="str">
        <f>"4574674200906782"</f>
        <v>4574674200906782</v>
      </c>
      <c r="F7892" t="str">
        <f>"742"</f>
        <v>742</v>
      </c>
      <c r="G7892">
        <v>1</v>
      </c>
      <c r="H7892">
        <v>2023</v>
      </c>
      <c r="I7892" t="s">
        <v>8007</v>
      </c>
    </row>
    <row r="7893" spans="1:9" x14ac:dyDescent="0.3">
      <c r="A7893" t="s">
        <v>10138</v>
      </c>
      <c r="B7893" t="s">
        <v>83</v>
      </c>
      <c r="C7893">
        <v>9406582649</v>
      </c>
      <c r="D7893" s="2">
        <v>1</v>
      </c>
      <c r="E7893" t="str">
        <f>"4574674200907004"</f>
        <v>4574674200907004</v>
      </c>
      <c r="F7893" t="str">
        <f>"424"</f>
        <v>424</v>
      </c>
      <c r="G7893">
        <v>1</v>
      </c>
      <c r="H7893">
        <v>2023</v>
      </c>
      <c r="I7893" t="s">
        <v>8008</v>
      </c>
    </row>
    <row r="7894" spans="1:9" x14ac:dyDescent="0.3">
      <c r="A7894" t="s">
        <v>10138</v>
      </c>
      <c r="B7894" t="s">
        <v>83</v>
      </c>
      <c r="C7894">
        <v>9406582649</v>
      </c>
      <c r="D7894" s="2">
        <v>1</v>
      </c>
      <c r="E7894" t="str">
        <f>"4574674200907012"</f>
        <v>4574674200907012</v>
      </c>
      <c r="F7894" t="str">
        <f>"626"</f>
        <v>626</v>
      </c>
      <c r="G7894">
        <v>1</v>
      </c>
      <c r="H7894">
        <v>2023</v>
      </c>
      <c r="I7894" t="s">
        <v>8009</v>
      </c>
    </row>
    <row r="7895" spans="1:9" x14ac:dyDescent="0.3">
      <c r="A7895" t="s">
        <v>10138</v>
      </c>
      <c r="B7895" t="s">
        <v>83</v>
      </c>
      <c r="C7895">
        <v>9406582649</v>
      </c>
      <c r="D7895" s="2">
        <v>1</v>
      </c>
      <c r="E7895" t="str">
        <f>"4574674200906881"</f>
        <v>4574674200906881</v>
      </c>
      <c r="F7895" t="str">
        <f>"641"</f>
        <v>641</v>
      </c>
      <c r="G7895">
        <v>1</v>
      </c>
      <c r="H7895">
        <v>2023</v>
      </c>
      <c r="I7895" t="s">
        <v>8010</v>
      </c>
    </row>
    <row r="7896" spans="1:9" x14ac:dyDescent="0.3">
      <c r="A7896" t="s">
        <v>10138</v>
      </c>
      <c r="B7896" t="s">
        <v>83</v>
      </c>
      <c r="C7896">
        <v>9406582649</v>
      </c>
      <c r="D7896" s="2">
        <v>1</v>
      </c>
      <c r="E7896" t="str">
        <f>"4574674200907020"</f>
        <v>4574674200907020</v>
      </c>
      <c r="F7896" t="str">
        <f>"705"</f>
        <v>705</v>
      </c>
      <c r="G7896">
        <v>1</v>
      </c>
      <c r="H7896">
        <v>2023</v>
      </c>
      <c r="I7896" t="s">
        <v>8011</v>
      </c>
    </row>
    <row r="7897" spans="1:9" x14ac:dyDescent="0.3">
      <c r="A7897" t="s">
        <v>10140</v>
      </c>
      <c r="B7897" t="s">
        <v>85</v>
      </c>
      <c r="C7897">
        <v>9406582649</v>
      </c>
      <c r="D7897" s="2">
        <v>1</v>
      </c>
      <c r="E7897" t="str">
        <f>"4574674200907038"</f>
        <v>4574674200907038</v>
      </c>
      <c r="F7897" t="str">
        <f>"660"</f>
        <v>660</v>
      </c>
      <c r="G7897">
        <v>1</v>
      </c>
      <c r="H7897">
        <v>2023</v>
      </c>
      <c r="I7897" t="s">
        <v>8012</v>
      </c>
    </row>
    <row r="7898" spans="1:9" x14ac:dyDescent="0.3">
      <c r="A7898" t="s">
        <v>10140</v>
      </c>
      <c r="B7898" t="s">
        <v>85</v>
      </c>
      <c r="C7898">
        <v>9406582649</v>
      </c>
      <c r="D7898" s="2">
        <v>1</v>
      </c>
      <c r="E7898" t="str">
        <f>"4574674200907129"</f>
        <v>4574674200907129</v>
      </c>
      <c r="F7898" t="str">
        <f>"542"</f>
        <v>542</v>
      </c>
      <c r="G7898">
        <v>1</v>
      </c>
      <c r="H7898">
        <v>2023</v>
      </c>
      <c r="I7898" t="s">
        <v>8013</v>
      </c>
    </row>
    <row r="7899" spans="1:9" x14ac:dyDescent="0.3">
      <c r="A7899" t="s">
        <v>10140</v>
      </c>
      <c r="B7899" t="s">
        <v>85</v>
      </c>
      <c r="C7899">
        <v>9406582649</v>
      </c>
      <c r="D7899" s="2">
        <v>1</v>
      </c>
      <c r="E7899" t="str">
        <f>"4574674200907111"</f>
        <v>4574674200907111</v>
      </c>
      <c r="F7899" t="str">
        <f>"527"</f>
        <v>527</v>
      </c>
      <c r="G7899">
        <v>1</v>
      </c>
      <c r="H7899">
        <v>2023</v>
      </c>
      <c r="I7899" t="s">
        <v>8014</v>
      </c>
    </row>
    <row r="7900" spans="1:9" x14ac:dyDescent="0.3">
      <c r="A7900" t="s">
        <v>10140</v>
      </c>
      <c r="B7900" t="s">
        <v>85</v>
      </c>
      <c r="C7900">
        <v>9406582649</v>
      </c>
      <c r="D7900" s="2">
        <v>1</v>
      </c>
      <c r="E7900" t="str">
        <f>"4574674200907160"</f>
        <v>4574674200907160</v>
      </c>
      <c r="F7900" t="str">
        <f>"739"</f>
        <v>739</v>
      </c>
      <c r="G7900">
        <v>1</v>
      </c>
      <c r="H7900">
        <v>2023</v>
      </c>
      <c r="I7900" t="s">
        <v>8015</v>
      </c>
    </row>
    <row r="7901" spans="1:9" x14ac:dyDescent="0.3">
      <c r="A7901" t="s">
        <v>10140</v>
      </c>
      <c r="B7901" t="s">
        <v>85</v>
      </c>
      <c r="C7901">
        <v>9406582649</v>
      </c>
      <c r="D7901" s="2">
        <v>1</v>
      </c>
      <c r="E7901" t="str">
        <f>"4574674200907178"</f>
        <v>4574674200907178</v>
      </c>
      <c r="F7901" t="str">
        <f>"985"</f>
        <v>985</v>
      </c>
      <c r="G7901">
        <v>1</v>
      </c>
      <c r="H7901">
        <v>2023</v>
      </c>
      <c r="I7901" t="s">
        <v>8016</v>
      </c>
    </row>
    <row r="7902" spans="1:9" x14ac:dyDescent="0.3">
      <c r="A7902" t="s">
        <v>10140</v>
      </c>
      <c r="B7902" t="s">
        <v>85</v>
      </c>
      <c r="C7902">
        <v>9406582649</v>
      </c>
      <c r="D7902" s="2">
        <v>1</v>
      </c>
      <c r="E7902" t="str">
        <f>"4574674200907186"</f>
        <v>4574674200907186</v>
      </c>
      <c r="F7902" t="str">
        <f>"985"</f>
        <v>985</v>
      </c>
      <c r="G7902">
        <v>1</v>
      </c>
      <c r="H7902">
        <v>2023</v>
      </c>
      <c r="I7902" t="s">
        <v>8017</v>
      </c>
    </row>
    <row r="7903" spans="1:9" x14ac:dyDescent="0.3">
      <c r="A7903" t="s">
        <v>10140</v>
      </c>
      <c r="B7903" t="s">
        <v>85</v>
      </c>
      <c r="C7903">
        <v>9406582649</v>
      </c>
      <c r="D7903" s="2">
        <v>1</v>
      </c>
      <c r="E7903" t="str">
        <f>"4574674200907228"</f>
        <v>4574674200907228</v>
      </c>
      <c r="F7903" t="str">
        <f>"191"</f>
        <v>191</v>
      </c>
      <c r="G7903">
        <v>1</v>
      </c>
      <c r="H7903">
        <v>2023</v>
      </c>
      <c r="I7903" t="s">
        <v>8018</v>
      </c>
    </row>
    <row r="7904" spans="1:9" x14ac:dyDescent="0.3">
      <c r="A7904" t="s">
        <v>10140</v>
      </c>
      <c r="B7904" t="s">
        <v>85</v>
      </c>
      <c r="C7904">
        <v>9406582649</v>
      </c>
      <c r="D7904" s="2">
        <v>1</v>
      </c>
      <c r="E7904" t="str">
        <f>"4574674200907400"</f>
        <v>4574674200907400</v>
      </c>
      <c r="F7904" t="str">
        <f>"233"</f>
        <v>233</v>
      </c>
      <c r="G7904">
        <v>1</v>
      </c>
      <c r="H7904">
        <v>2023</v>
      </c>
      <c r="I7904" t="s">
        <v>8019</v>
      </c>
    </row>
    <row r="7905" spans="1:9" x14ac:dyDescent="0.3">
      <c r="A7905" t="s">
        <v>10140</v>
      </c>
      <c r="B7905" t="s">
        <v>85</v>
      </c>
      <c r="C7905">
        <v>9406582649</v>
      </c>
      <c r="D7905" s="2">
        <v>1</v>
      </c>
      <c r="E7905" t="str">
        <f>"4574674200907269"</f>
        <v>4574674200907269</v>
      </c>
      <c r="F7905" t="str">
        <f>"774"</f>
        <v>774</v>
      </c>
      <c r="G7905">
        <v>1</v>
      </c>
      <c r="H7905">
        <v>2023</v>
      </c>
      <c r="I7905" t="s">
        <v>8020</v>
      </c>
    </row>
    <row r="7906" spans="1:9" x14ac:dyDescent="0.3">
      <c r="A7906" t="s">
        <v>10140</v>
      </c>
      <c r="B7906" t="s">
        <v>85</v>
      </c>
      <c r="C7906">
        <v>9406582649</v>
      </c>
      <c r="D7906" s="2">
        <v>1</v>
      </c>
      <c r="E7906" t="str">
        <f>"4574674200907285"</f>
        <v>4574674200907285</v>
      </c>
      <c r="F7906" t="str">
        <f>"912"</f>
        <v>912</v>
      </c>
      <c r="G7906">
        <v>1</v>
      </c>
      <c r="H7906">
        <v>2023</v>
      </c>
      <c r="I7906" t="s">
        <v>8021</v>
      </c>
    </row>
    <row r="7907" spans="1:9" x14ac:dyDescent="0.3">
      <c r="A7907" t="s">
        <v>10141</v>
      </c>
      <c r="B7907" t="s">
        <v>86</v>
      </c>
      <c r="C7907">
        <v>9406582649</v>
      </c>
      <c r="D7907" s="2">
        <v>1</v>
      </c>
      <c r="E7907" t="str">
        <f>"4574674200907319"</f>
        <v>4574674200907319</v>
      </c>
      <c r="F7907" t="str">
        <f>"173"</f>
        <v>173</v>
      </c>
      <c r="G7907">
        <v>1</v>
      </c>
      <c r="H7907">
        <v>2023</v>
      </c>
      <c r="I7907" t="s">
        <v>8022</v>
      </c>
    </row>
    <row r="7908" spans="1:9" x14ac:dyDescent="0.3">
      <c r="A7908" t="s">
        <v>10141</v>
      </c>
      <c r="B7908" t="s">
        <v>86</v>
      </c>
      <c r="C7908">
        <v>9406582649</v>
      </c>
      <c r="D7908" s="2">
        <v>1</v>
      </c>
      <c r="E7908" t="str">
        <f>"4574674200907335"</f>
        <v>4574674200907335</v>
      </c>
      <c r="F7908" t="str">
        <f>"259"</f>
        <v>259</v>
      </c>
      <c r="G7908">
        <v>1</v>
      </c>
      <c r="H7908">
        <v>2023</v>
      </c>
      <c r="I7908" t="s">
        <v>8023</v>
      </c>
    </row>
    <row r="7909" spans="1:9" x14ac:dyDescent="0.3">
      <c r="A7909" t="s">
        <v>10141</v>
      </c>
      <c r="B7909" t="s">
        <v>86</v>
      </c>
      <c r="C7909">
        <v>9406582649</v>
      </c>
      <c r="D7909" s="2">
        <v>1</v>
      </c>
      <c r="E7909" t="str">
        <f>"4574674200907343"</f>
        <v>4574674200907343</v>
      </c>
      <c r="F7909" t="str">
        <f>"100"</f>
        <v>100</v>
      </c>
      <c r="G7909">
        <v>1</v>
      </c>
      <c r="H7909">
        <v>2023</v>
      </c>
      <c r="I7909" t="s">
        <v>8024</v>
      </c>
    </row>
    <row r="7910" spans="1:9" x14ac:dyDescent="0.3">
      <c r="A7910" t="s">
        <v>10141</v>
      </c>
      <c r="B7910" t="s">
        <v>86</v>
      </c>
      <c r="C7910">
        <v>9406582649</v>
      </c>
      <c r="D7910" s="2">
        <v>1</v>
      </c>
      <c r="E7910" t="str">
        <f>"4574674200907384"</f>
        <v>4574674200907384</v>
      </c>
      <c r="F7910" t="str">
        <f>"365"</f>
        <v>365</v>
      </c>
      <c r="G7910">
        <v>1</v>
      </c>
      <c r="H7910">
        <v>2023</v>
      </c>
      <c r="I7910" t="s">
        <v>8025</v>
      </c>
    </row>
    <row r="7911" spans="1:9" x14ac:dyDescent="0.3">
      <c r="A7911" t="s">
        <v>10141</v>
      </c>
      <c r="B7911" t="s">
        <v>86</v>
      </c>
      <c r="C7911">
        <v>9406582649</v>
      </c>
      <c r="D7911" s="2">
        <v>1</v>
      </c>
      <c r="E7911" t="str">
        <f>"4574674200907525"</f>
        <v>4574674200907525</v>
      </c>
      <c r="F7911" t="str">
        <f>"878"</f>
        <v>878</v>
      </c>
      <c r="G7911">
        <v>1</v>
      </c>
      <c r="H7911">
        <v>2023</v>
      </c>
      <c r="I7911" t="s">
        <v>8026</v>
      </c>
    </row>
    <row r="7912" spans="1:9" x14ac:dyDescent="0.3">
      <c r="A7912" t="s">
        <v>10141</v>
      </c>
      <c r="B7912" t="s">
        <v>86</v>
      </c>
      <c r="C7912">
        <v>9406582649</v>
      </c>
      <c r="D7912" s="2">
        <v>1</v>
      </c>
      <c r="E7912" t="str">
        <f>"4574674200907673"</f>
        <v>4574674200907673</v>
      </c>
      <c r="F7912" t="str">
        <f>"458"</f>
        <v>458</v>
      </c>
      <c r="G7912">
        <v>1</v>
      </c>
      <c r="H7912">
        <v>2023</v>
      </c>
      <c r="I7912" t="s">
        <v>8027</v>
      </c>
    </row>
    <row r="7913" spans="1:9" x14ac:dyDescent="0.3">
      <c r="A7913" t="s">
        <v>10141</v>
      </c>
      <c r="B7913" t="s">
        <v>86</v>
      </c>
      <c r="C7913">
        <v>9406582649</v>
      </c>
      <c r="D7913" s="2">
        <v>1</v>
      </c>
      <c r="E7913" t="str">
        <f>"4574674200907632"</f>
        <v>4574674200907632</v>
      </c>
      <c r="F7913" t="str">
        <f>"314"</f>
        <v>314</v>
      </c>
      <c r="G7913">
        <v>1</v>
      </c>
      <c r="H7913">
        <v>2023</v>
      </c>
      <c r="I7913" t="s">
        <v>8028</v>
      </c>
    </row>
    <row r="7914" spans="1:9" x14ac:dyDescent="0.3">
      <c r="A7914" t="s">
        <v>10141</v>
      </c>
      <c r="B7914" t="s">
        <v>86</v>
      </c>
      <c r="C7914">
        <v>9406582649</v>
      </c>
      <c r="D7914" s="2">
        <v>1</v>
      </c>
      <c r="E7914" t="str">
        <f>"4574674200907616"</f>
        <v>4574674200907616</v>
      </c>
      <c r="F7914" t="str">
        <f>"953"</f>
        <v>953</v>
      </c>
      <c r="G7914">
        <v>1</v>
      </c>
      <c r="H7914">
        <v>2023</v>
      </c>
      <c r="I7914" t="s">
        <v>8029</v>
      </c>
    </row>
    <row r="7915" spans="1:9" x14ac:dyDescent="0.3">
      <c r="A7915" t="s">
        <v>10141</v>
      </c>
      <c r="B7915" t="s">
        <v>86</v>
      </c>
      <c r="C7915">
        <v>9406582649</v>
      </c>
      <c r="D7915" s="2">
        <v>1</v>
      </c>
      <c r="E7915" t="str">
        <f>"4574674200907699"</f>
        <v>4574674200907699</v>
      </c>
      <c r="F7915" t="str">
        <f>"740"</f>
        <v>740</v>
      </c>
      <c r="G7915">
        <v>1</v>
      </c>
      <c r="H7915">
        <v>2023</v>
      </c>
      <c r="I7915" t="s">
        <v>8030</v>
      </c>
    </row>
    <row r="7916" spans="1:9" x14ac:dyDescent="0.3">
      <c r="A7916" t="s">
        <v>10141</v>
      </c>
      <c r="B7916" t="s">
        <v>86</v>
      </c>
      <c r="C7916">
        <v>9406582649</v>
      </c>
      <c r="D7916" s="2">
        <v>1</v>
      </c>
      <c r="E7916" t="str">
        <f>"4574674200907806"</f>
        <v>4574674200907806</v>
      </c>
      <c r="F7916" t="str">
        <f>"724"</f>
        <v>724</v>
      </c>
      <c r="G7916">
        <v>1</v>
      </c>
      <c r="H7916">
        <v>2023</v>
      </c>
      <c r="I7916" t="s">
        <v>8031</v>
      </c>
    </row>
    <row r="7917" spans="1:9" x14ac:dyDescent="0.3">
      <c r="A7917" t="s">
        <v>10142</v>
      </c>
      <c r="B7917" t="s">
        <v>87</v>
      </c>
      <c r="C7917">
        <v>9406582649</v>
      </c>
      <c r="D7917" s="2">
        <v>1</v>
      </c>
      <c r="E7917" t="str">
        <f>"4574674200907822"</f>
        <v>4574674200907822</v>
      </c>
      <c r="F7917" t="str">
        <f>"165"</f>
        <v>165</v>
      </c>
      <c r="G7917">
        <v>1</v>
      </c>
      <c r="H7917">
        <v>2023</v>
      </c>
      <c r="I7917" t="s">
        <v>8032</v>
      </c>
    </row>
    <row r="7918" spans="1:9" x14ac:dyDescent="0.3">
      <c r="A7918" t="s">
        <v>10142</v>
      </c>
      <c r="B7918" t="s">
        <v>87</v>
      </c>
      <c r="C7918">
        <v>9406582649</v>
      </c>
      <c r="D7918" s="2">
        <v>1</v>
      </c>
      <c r="E7918" t="str">
        <f>"4574674200907855"</f>
        <v>4574674200907855</v>
      </c>
      <c r="F7918" t="str">
        <f>"452"</f>
        <v>452</v>
      </c>
      <c r="G7918">
        <v>1</v>
      </c>
      <c r="H7918">
        <v>2023</v>
      </c>
      <c r="I7918" t="s">
        <v>8033</v>
      </c>
    </row>
    <row r="7919" spans="1:9" x14ac:dyDescent="0.3">
      <c r="A7919" t="s">
        <v>10142</v>
      </c>
      <c r="B7919" t="s">
        <v>87</v>
      </c>
      <c r="C7919">
        <v>9406582649</v>
      </c>
      <c r="D7919" s="2">
        <v>1</v>
      </c>
      <c r="E7919" t="str">
        <f>"4574674200907905"</f>
        <v>4574674200907905</v>
      </c>
      <c r="F7919" t="str">
        <f>"860"</f>
        <v>860</v>
      </c>
      <c r="G7919">
        <v>1</v>
      </c>
      <c r="H7919">
        <v>2023</v>
      </c>
      <c r="I7919" t="s">
        <v>8034</v>
      </c>
    </row>
    <row r="7920" spans="1:9" x14ac:dyDescent="0.3">
      <c r="A7920" t="s">
        <v>10142</v>
      </c>
      <c r="B7920" t="s">
        <v>87</v>
      </c>
      <c r="C7920">
        <v>9406582649</v>
      </c>
      <c r="D7920" s="2">
        <v>1</v>
      </c>
      <c r="E7920" t="str">
        <f>"4574674200908069"</f>
        <v>4574674200908069</v>
      </c>
      <c r="F7920" t="str">
        <f>"125"</f>
        <v>125</v>
      </c>
      <c r="G7920">
        <v>1</v>
      </c>
      <c r="H7920">
        <v>2023</v>
      </c>
      <c r="I7920" t="s">
        <v>8035</v>
      </c>
    </row>
    <row r="7921" spans="1:9" x14ac:dyDescent="0.3">
      <c r="A7921" t="s">
        <v>10142</v>
      </c>
      <c r="B7921" t="s">
        <v>87</v>
      </c>
      <c r="C7921">
        <v>9406582649</v>
      </c>
      <c r="D7921" s="2">
        <v>1</v>
      </c>
      <c r="E7921" t="str">
        <f>"4574674200907962"</f>
        <v>4574674200907962</v>
      </c>
      <c r="F7921" t="str">
        <f>"166"</f>
        <v>166</v>
      </c>
      <c r="G7921">
        <v>1</v>
      </c>
      <c r="H7921">
        <v>2023</v>
      </c>
      <c r="I7921" t="s">
        <v>8036</v>
      </c>
    </row>
    <row r="7922" spans="1:9" x14ac:dyDescent="0.3">
      <c r="A7922" t="s">
        <v>10142</v>
      </c>
      <c r="B7922" t="s">
        <v>87</v>
      </c>
      <c r="C7922">
        <v>9406582649</v>
      </c>
      <c r="D7922" s="2">
        <v>1</v>
      </c>
      <c r="E7922" t="str">
        <f>"4574674200907970"</f>
        <v>4574674200907970</v>
      </c>
      <c r="F7922" t="str">
        <f>"592"</f>
        <v>592</v>
      </c>
      <c r="G7922">
        <v>1</v>
      </c>
      <c r="H7922">
        <v>2023</v>
      </c>
      <c r="I7922" t="s">
        <v>8037</v>
      </c>
    </row>
    <row r="7923" spans="1:9" x14ac:dyDescent="0.3">
      <c r="A7923" t="s">
        <v>10142</v>
      </c>
      <c r="B7923" t="s">
        <v>87</v>
      </c>
      <c r="C7923">
        <v>9406582649</v>
      </c>
      <c r="D7923" s="2">
        <v>1</v>
      </c>
      <c r="E7923" t="str">
        <f>"4574674200908200"</f>
        <v>4574674200908200</v>
      </c>
      <c r="F7923" t="str">
        <f>"556"</f>
        <v>556</v>
      </c>
      <c r="G7923">
        <v>1</v>
      </c>
      <c r="H7923">
        <v>2023</v>
      </c>
      <c r="I7923" t="s">
        <v>8038</v>
      </c>
    </row>
    <row r="7924" spans="1:9" x14ac:dyDescent="0.3">
      <c r="A7924" t="s">
        <v>10142</v>
      </c>
      <c r="B7924" t="s">
        <v>87</v>
      </c>
      <c r="C7924">
        <v>9406582649</v>
      </c>
      <c r="D7924" s="2">
        <v>1</v>
      </c>
      <c r="E7924" t="str">
        <f>"4574674200907988"</f>
        <v>4574674200907988</v>
      </c>
      <c r="F7924" t="str">
        <f>"546"</f>
        <v>546</v>
      </c>
      <c r="G7924">
        <v>1</v>
      </c>
      <c r="H7924">
        <v>2023</v>
      </c>
      <c r="I7924" t="s">
        <v>8039</v>
      </c>
    </row>
    <row r="7925" spans="1:9" x14ac:dyDescent="0.3">
      <c r="A7925" t="s">
        <v>10142</v>
      </c>
      <c r="B7925" t="s">
        <v>87</v>
      </c>
      <c r="C7925">
        <v>9406582649</v>
      </c>
      <c r="D7925" s="2">
        <v>1</v>
      </c>
      <c r="E7925" t="str">
        <f>"4574674200908226"</f>
        <v>4574674200908226</v>
      </c>
      <c r="F7925" t="str">
        <f>"131"</f>
        <v>131</v>
      </c>
      <c r="G7925">
        <v>1</v>
      </c>
      <c r="H7925">
        <v>2023</v>
      </c>
      <c r="I7925" t="s">
        <v>8040</v>
      </c>
    </row>
    <row r="7926" spans="1:9" x14ac:dyDescent="0.3">
      <c r="A7926" t="s">
        <v>10142</v>
      </c>
      <c r="B7926" t="s">
        <v>87</v>
      </c>
      <c r="C7926">
        <v>9406582649</v>
      </c>
      <c r="D7926" s="2">
        <v>1</v>
      </c>
      <c r="E7926" t="str">
        <f>"4574674200908267"</f>
        <v>4574674200908267</v>
      </c>
      <c r="F7926" t="str">
        <f>"232"</f>
        <v>232</v>
      </c>
      <c r="G7926">
        <v>1</v>
      </c>
      <c r="H7926">
        <v>2023</v>
      </c>
      <c r="I7926" t="s">
        <v>8041</v>
      </c>
    </row>
    <row r="7927" spans="1:9" x14ac:dyDescent="0.3">
      <c r="A7927" t="s">
        <v>10143</v>
      </c>
      <c r="B7927" t="s">
        <v>88</v>
      </c>
      <c r="C7927">
        <v>9406582649</v>
      </c>
      <c r="D7927" s="2">
        <v>1</v>
      </c>
      <c r="E7927" t="str">
        <f>"4574674200908325"</f>
        <v>4574674200908325</v>
      </c>
      <c r="F7927" t="str">
        <f>"824"</f>
        <v>824</v>
      </c>
      <c r="G7927">
        <v>1</v>
      </c>
      <c r="H7927">
        <v>2023</v>
      </c>
      <c r="I7927" t="s">
        <v>8042</v>
      </c>
    </row>
    <row r="7928" spans="1:9" x14ac:dyDescent="0.3">
      <c r="A7928" t="s">
        <v>10143</v>
      </c>
      <c r="B7928" t="s">
        <v>88</v>
      </c>
      <c r="C7928">
        <v>9406582649</v>
      </c>
      <c r="D7928" s="2">
        <v>1</v>
      </c>
      <c r="E7928" t="str">
        <f>"4574674200908366"</f>
        <v>4574674200908366</v>
      </c>
      <c r="F7928" t="str">
        <f>"539"</f>
        <v>539</v>
      </c>
      <c r="G7928">
        <v>1</v>
      </c>
      <c r="H7928">
        <v>2023</v>
      </c>
      <c r="I7928" t="s">
        <v>8043</v>
      </c>
    </row>
    <row r="7929" spans="1:9" x14ac:dyDescent="0.3">
      <c r="A7929" t="s">
        <v>10143</v>
      </c>
      <c r="B7929" t="s">
        <v>88</v>
      </c>
      <c r="C7929">
        <v>9406582649</v>
      </c>
      <c r="D7929" s="2">
        <v>1</v>
      </c>
      <c r="E7929" t="str">
        <f>"4574674200908374"</f>
        <v>4574674200908374</v>
      </c>
      <c r="F7929" t="str">
        <f>"013"</f>
        <v>013</v>
      </c>
      <c r="G7929">
        <v>1</v>
      </c>
      <c r="H7929">
        <v>2023</v>
      </c>
      <c r="I7929" t="s">
        <v>8044</v>
      </c>
    </row>
    <row r="7930" spans="1:9" x14ac:dyDescent="0.3">
      <c r="A7930" t="s">
        <v>10143</v>
      </c>
      <c r="B7930" t="s">
        <v>88</v>
      </c>
      <c r="C7930">
        <v>9406582649</v>
      </c>
      <c r="D7930" s="2">
        <v>1</v>
      </c>
      <c r="E7930" t="str">
        <f>"4574674200908150"</f>
        <v>4574674200908150</v>
      </c>
      <c r="F7930" t="str">
        <f>"046"</f>
        <v>046</v>
      </c>
      <c r="G7930">
        <v>1</v>
      </c>
      <c r="H7930">
        <v>2023</v>
      </c>
      <c r="I7930" t="s">
        <v>8045</v>
      </c>
    </row>
    <row r="7931" spans="1:9" x14ac:dyDescent="0.3">
      <c r="A7931" t="s">
        <v>10143</v>
      </c>
      <c r="B7931" t="s">
        <v>88</v>
      </c>
      <c r="C7931">
        <v>9406582649</v>
      </c>
      <c r="D7931" s="2">
        <v>1</v>
      </c>
      <c r="E7931" t="str">
        <f>"4574674200908416"</f>
        <v>4574674200908416</v>
      </c>
      <c r="F7931" t="str">
        <f>"513"</f>
        <v>513</v>
      </c>
      <c r="G7931">
        <v>1</v>
      </c>
      <c r="H7931">
        <v>2023</v>
      </c>
      <c r="I7931" t="s">
        <v>8046</v>
      </c>
    </row>
    <row r="7932" spans="1:9" x14ac:dyDescent="0.3">
      <c r="A7932" t="s">
        <v>10143</v>
      </c>
      <c r="B7932" t="s">
        <v>88</v>
      </c>
      <c r="C7932">
        <v>9406582649</v>
      </c>
      <c r="D7932" s="2">
        <v>1</v>
      </c>
      <c r="E7932" t="str">
        <f>"4574674200908432"</f>
        <v>4574674200908432</v>
      </c>
      <c r="F7932" t="str">
        <f>"618"</f>
        <v>618</v>
      </c>
      <c r="G7932">
        <v>1</v>
      </c>
      <c r="H7932">
        <v>2023</v>
      </c>
      <c r="I7932" t="s">
        <v>8047</v>
      </c>
    </row>
    <row r="7933" spans="1:9" x14ac:dyDescent="0.3">
      <c r="A7933" t="s">
        <v>10143</v>
      </c>
      <c r="B7933" t="s">
        <v>88</v>
      </c>
      <c r="C7933">
        <v>9406582649</v>
      </c>
      <c r="D7933" s="2">
        <v>1</v>
      </c>
      <c r="E7933" t="str">
        <f>"4574674200908473"</f>
        <v>4574674200908473</v>
      </c>
      <c r="F7933" t="str">
        <f>"958"</f>
        <v>958</v>
      </c>
      <c r="G7933">
        <v>1</v>
      </c>
      <c r="H7933">
        <v>2023</v>
      </c>
      <c r="I7933" t="s">
        <v>8048</v>
      </c>
    </row>
    <row r="7934" spans="1:9" x14ac:dyDescent="0.3">
      <c r="A7934" t="s">
        <v>10143</v>
      </c>
      <c r="B7934" t="s">
        <v>88</v>
      </c>
      <c r="C7934">
        <v>9406582649</v>
      </c>
      <c r="D7934" s="2">
        <v>1</v>
      </c>
      <c r="E7934" t="str">
        <f>"4574674200908515"</f>
        <v>4574674200908515</v>
      </c>
      <c r="F7934" t="str">
        <f>"962"</f>
        <v>962</v>
      </c>
      <c r="G7934">
        <v>1</v>
      </c>
      <c r="H7934">
        <v>2023</v>
      </c>
      <c r="I7934" t="s">
        <v>8049</v>
      </c>
    </row>
    <row r="7935" spans="1:9" x14ac:dyDescent="0.3">
      <c r="A7935" t="s">
        <v>10143</v>
      </c>
      <c r="B7935" t="s">
        <v>88</v>
      </c>
      <c r="C7935">
        <v>9406582649</v>
      </c>
      <c r="D7935" s="2">
        <v>1</v>
      </c>
      <c r="E7935" t="str">
        <f>"4574674200908523"</f>
        <v>4574674200908523</v>
      </c>
      <c r="F7935" t="str">
        <f>"028"</f>
        <v>028</v>
      </c>
      <c r="G7935">
        <v>1</v>
      </c>
      <c r="H7935">
        <v>2023</v>
      </c>
      <c r="I7935" t="s">
        <v>8050</v>
      </c>
    </row>
    <row r="7936" spans="1:9" x14ac:dyDescent="0.3">
      <c r="A7936" t="s">
        <v>10143</v>
      </c>
      <c r="B7936" t="s">
        <v>88</v>
      </c>
      <c r="C7936">
        <v>9406582649</v>
      </c>
      <c r="D7936" s="2">
        <v>1</v>
      </c>
      <c r="E7936" t="str">
        <f>"4574674200908663"</f>
        <v>4574674200908663</v>
      </c>
      <c r="F7936" t="str">
        <f>"986"</f>
        <v>986</v>
      </c>
      <c r="G7936">
        <v>1</v>
      </c>
      <c r="H7936">
        <v>2023</v>
      </c>
      <c r="I7936" t="s">
        <v>8051</v>
      </c>
    </row>
    <row r="7937" spans="1:9" x14ac:dyDescent="0.3">
      <c r="A7937" t="s">
        <v>10144</v>
      </c>
      <c r="B7937" t="s">
        <v>89</v>
      </c>
      <c r="C7937">
        <v>9406582649</v>
      </c>
      <c r="D7937" s="2">
        <v>1</v>
      </c>
      <c r="E7937" t="str">
        <f>"4574674200908556"</f>
        <v>4574674200908556</v>
      </c>
      <c r="F7937" t="str">
        <f>"452"</f>
        <v>452</v>
      </c>
      <c r="G7937">
        <v>1</v>
      </c>
      <c r="H7937">
        <v>2023</v>
      </c>
      <c r="I7937" t="s">
        <v>8052</v>
      </c>
    </row>
    <row r="7938" spans="1:9" x14ac:dyDescent="0.3">
      <c r="A7938" t="s">
        <v>10144</v>
      </c>
      <c r="B7938" t="s">
        <v>89</v>
      </c>
      <c r="C7938">
        <v>9406582649</v>
      </c>
      <c r="D7938" s="2">
        <v>1</v>
      </c>
      <c r="E7938" t="str">
        <f>"4574674200908812"</f>
        <v>4574674200908812</v>
      </c>
      <c r="F7938" t="str">
        <f>"239"</f>
        <v>239</v>
      </c>
      <c r="G7938">
        <v>1</v>
      </c>
      <c r="H7938">
        <v>2023</v>
      </c>
      <c r="I7938" t="s">
        <v>8053</v>
      </c>
    </row>
    <row r="7939" spans="1:9" x14ac:dyDescent="0.3">
      <c r="A7939" t="s">
        <v>10144</v>
      </c>
      <c r="B7939" t="s">
        <v>89</v>
      </c>
      <c r="C7939">
        <v>9406582649</v>
      </c>
      <c r="D7939" s="2">
        <v>1</v>
      </c>
      <c r="E7939" t="str">
        <f>"4574674200908804"</f>
        <v>4574674200908804</v>
      </c>
      <c r="F7939" t="str">
        <f>"840"</f>
        <v>840</v>
      </c>
      <c r="G7939">
        <v>1</v>
      </c>
      <c r="H7939">
        <v>2023</v>
      </c>
      <c r="I7939" t="s">
        <v>8054</v>
      </c>
    </row>
    <row r="7940" spans="1:9" x14ac:dyDescent="0.3">
      <c r="A7940" t="s">
        <v>10144</v>
      </c>
      <c r="B7940" t="s">
        <v>89</v>
      </c>
      <c r="C7940">
        <v>9406582649</v>
      </c>
      <c r="D7940" s="2">
        <v>1</v>
      </c>
      <c r="E7940" t="str">
        <f>"4574674200908846"</f>
        <v>4574674200908846</v>
      </c>
      <c r="F7940" t="str">
        <f>"969"</f>
        <v>969</v>
      </c>
      <c r="G7940">
        <v>1</v>
      </c>
      <c r="H7940">
        <v>2023</v>
      </c>
      <c r="I7940" t="s">
        <v>8055</v>
      </c>
    </row>
    <row r="7941" spans="1:9" x14ac:dyDescent="0.3">
      <c r="A7941" t="s">
        <v>10144</v>
      </c>
      <c r="B7941" t="s">
        <v>89</v>
      </c>
      <c r="C7941">
        <v>9406582649</v>
      </c>
      <c r="D7941" s="2">
        <v>1</v>
      </c>
      <c r="E7941" t="str">
        <f>"4574674200908879"</f>
        <v>4574674200908879</v>
      </c>
      <c r="F7941" t="str">
        <f>"054"</f>
        <v>054</v>
      </c>
      <c r="G7941">
        <v>1</v>
      </c>
      <c r="H7941">
        <v>2023</v>
      </c>
      <c r="I7941" t="s">
        <v>8056</v>
      </c>
    </row>
    <row r="7942" spans="1:9" x14ac:dyDescent="0.3">
      <c r="A7942" t="s">
        <v>10144</v>
      </c>
      <c r="B7942" t="s">
        <v>89</v>
      </c>
      <c r="C7942">
        <v>9406582649</v>
      </c>
      <c r="D7942" s="2">
        <v>1</v>
      </c>
      <c r="E7942" t="str">
        <f>"4574674200908887"</f>
        <v>4574674200908887</v>
      </c>
      <c r="F7942" t="str">
        <f>"483"</f>
        <v>483</v>
      </c>
      <c r="G7942">
        <v>1</v>
      </c>
      <c r="H7942">
        <v>2023</v>
      </c>
      <c r="I7942" t="s">
        <v>8057</v>
      </c>
    </row>
    <row r="7943" spans="1:9" x14ac:dyDescent="0.3">
      <c r="A7943" t="s">
        <v>10144</v>
      </c>
      <c r="B7943" t="s">
        <v>89</v>
      </c>
      <c r="C7943">
        <v>9406582649</v>
      </c>
      <c r="D7943" s="2">
        <v>1</v>
      </c>
      <c r="E7943" t="str">
        <f>"4574674200908911"</f>
        <v>4574674200908911</v>
      </c>
      <c r="F7943" t="str">
        <f>"459"</f>
        <v>459</v>
      </c>
      <c r="G7943">
        <v>1</v>
      </c>
      <c r="H7943">
        <v>2023</v>
      </c>
      <c r="I7943" t="s">
        <v>8058</v>
      </c>
    </row>
    <row r="7944" spans="1:9" x14ac:dyDescent="0.3">
      <c r="A7944" t="s">
        <v>10144</v>
      </c>
      <c r="B7944" t="s">
        <v>89</v>
      </c>
      <c r="C7944">
        <v>9406582649</v>
      </c>
      <c r="D7944" s="2">
        <v>1</v>
      </c>
      <c r="E7944" t="str">
        <f>"4574674200908945"</f>
        <v>4574674200908945</v>
      </c>
      <c r="F7944" t="str">
        <f>"728"</f>
        <v>728</v>
      </c>
      <c r="G7944">
        <v>1</v>
      </c>
      <c r="H7944">
        <v>2023</v>
      </c>
      <c r="I7944" t="s">
        <v>8059</v>
      </c>
    </row>
    <row r="7945" spans="1:9" x14ac:dyDescent="0.3">
      <c r="A7945" t="s">
        <v>10144</v>
      </c>
      <c r="B7945" t="s">
        <v>89</v>
      </c>
      <c r="C7945">
        <v>9406582649</v>
      </c>
      <c r="D7945" s="2">
        <v>1</v>
      </c>
      <c r="E7945" t="str">
        <f>"4574674200908952"</f>
        <v>4574674200908952</v>
      </c>
      <c r="F7945" t="str">
        <f>"402"</f>
        <v>402</v>
      </c>
      <c r="G7945">
        <v>1</v>
      </c>
      <c r="H7945">
        <v>2023</v>
      </c>
      <c r="I7945" t="s">
        <v>8060</v>
      </c>
    </row>
    <row r="7946" spans="1:9" x14ac:dyDescent="0.3">
      <c r="A7946" t="s">
        <v>10144</v>
      </c>
      <c r="B7946" t="s">
        <v>89</v>
      </c>
      <c r="C7946">
        <v>9406582649</v>
      </c>
      <c r="D7946" s="2">
        <v>1</v>
      </c>
      <c r="E7946" t="str">
        <f>"4574674200908788"</f>
        <v>4574674200908788</v>
      </c>
      <c r="F7946" t="str">
        <f>"224"</f>
        <v>224</v>
      </c>
      <c r="G7946">
        <v>1</v>
      </c>
      <c r="H7946">
        <v>2023</v>
      </c>
      <c r="I7946" t="s">
        <v>8061</v>
      </c>
    </row>
    <row r="7947" spans="1:9" x14ac:dyDescent="0.3">
      <c r="A7947" t="s">
        <v>10145</v>
      </c>
      <c r="B7947" t="s">
        <v>90</v>
      </c>
      <c r="C7947">
        <v>9406582649</v>
      </c>
      <c r="D7947" s="2">
        <v>1</v>
      </c>
      <c r="E7947" t="str">
        <f>"4574674200909026"</f>
        <v>4574674200909026</v>
      </c>
      <c r="F7947" t="str">
        <f>"679"</f>
        <v>679</v>
      </c>
      <c r="G7947">
        <v>1</v>
      </c>
      <c r="H7947">
        <v>2023</v>
      </c>
      <c r="I7947" t="s">
        <v>8062</v>
      </c>
    </row>
    <row r="7948" spans="1:9" x14ac:dyDescent="0.3">
      <c r="A7948" t="s">
        <v>10145</v>
      </c>
      <c r="B7948" t="s">
        <v>90</v>
      </c>
      <c r="C7948">
        <v>9406582649</v>
      </c>
      <c r="D7948" s="2">
        <v>1</v>
      </c>
      <c r="E7948" t="str">
        <f>"4574674200909034"</f>
        <v>4574674200909034</v>
      </c>
      <c r="F7948" t="str">
        <f>"549"</f>
        <v>549</v>
      </c>
      <c r="G7948">
        <v>1</v>
      </c>
      <c r="H7948">
        <v>2023</v>
      </c>
      <c r="I7948" t="s">
        <v>8063</v>
      </c>
    </row>
    <row r="7949" spans="1:9" x14ac:dyDescent="0.3">
      <c r="A7949" t="s">
        <v>10145</v>
      </c>
      <c r="B7949" t="s">
        <v>90</v>
      </c>
      <c r="C7949">
        <v>9406582649</v>
      </c>
      <c r="D7949" s="2">
        <v>1</v>
      </c>
      <c r="E7949" t="str">
        <f>"4574674200909083"</f>
        <v>4574674200909083</v>
      </c>
      <c r="F7949" t="str">
        <f>"921"</f>
        <v>921</v>
      </c>
      <c r="G7949">
        <v>1</v>
      </c>
      <c r="H7949">
        <v>2023</v>
      </c>
      <c r="I7949" t="s">
        <v>8064</v>
      </c>
    </row>
    <row r="7950" spans="1:9" x14ac:dyDescent="0.3">
      <c r="A7950" t="s">
        <v>10145</v>
      </c>
      <c r="B7950" t="s">
        <v>90</v>
      </c>
      <c r="C7950">
        <v>9406582649</v>
      </c>
      <c r="D7950" s="2">
        <v>1</v>
      </c>
      <c r="E7950" t="str">
        <f>"4574674200909109"</f>
        <v>4574674200909109</v>
      </c>
      <c r="F7950" t="str">
        <f>"059"</f>
        <v>059</v>
      </c>
      <c r="G7950">
        <v>1</v>
      </c>
      <c r="H7950">
        <v>2023</v>
      </c>
      <c r="I7950" t="s">
        <v>8065</v>
      </c>
    </row>
    <row r="7951" spans="1:9" x14ac:dyDescent="0.3">
      <c r="A7951" t="s">
        <v>10145</v>
      </c>
      <c r="B7951" t="s">
        <v>90</v>
      </c>
      <c r="C7951">
        <v>9406582649</v>
      </c>
      <c r="D7951" s="2">
        <v>1</v>
      </c>
      <c r="E7951" t="str">
        <f>"4574674200909125"</f>
        <v>4574674200909125</v>
      </c>
      <c r="F7951" t="str">
        <f>"722"</f>
        <v>722</v>
      </c>
      <c r="G7951">
        <v>1</v>
      </c>
      <c r="H7951">
        <v>2023</v>
      </c>
      <c r="I7951" t="s">
        <v>8066</v>
      </c>
    </row>
    <row r="7952" spans="1:9" x14ac:dyDescent="0.3">
      <c r="A7952" t="s">
        <v>10145</v>
      </c>
      <c r="B7952" t="s">
        <v>90</v>
      </c>
      <c r="C7952">
        <v>9406582649</v>
      </c>
      <c r="D7952" s="2">
        <v>1</v>
      </c>
      <c r="E7952" t="str">
        <f>"4574674200909133"</f>
        <v>4574674200909133</v>
      </c>
      <c r="F7952" t="str">
        <f>"248"</f>
        <v>248</v>
      </c>
      <c r="G7952">
        <v>1</v>
      </c>
      <c r="H7952">
        <v>2023</v>
      </c>
      <c r="I7952" t="s">
        <v>8067</v>
      </c>
    </row>
    <row r="7953" spans="1:9" x14ac:dyDescent="0.3">
      <c r="A7953" t="s">
        <v>10145</v>
      </c>
      <c r="B7953" t="s">
        <v>90</v>
      </c>
      <c r="C7953">
        <v>9406582649</v>
      </c>
      <c r="D7953" s="2">
        <v>1</v>
      </c>
      <c r="E7953" t="str">
        <f>"4574674200909174"</f>
        <v>4574674200909174</v>
      </c>
      <c r="F7953" t="str">
        <f>"509"</f>
        <v>509</v>
      </c>
      <c r="G7953">
        <v>1</v>
      </c>
      <c r="H7953">
        <v>2023</v>
      </c>
      <c r="I7953" t="s">
        <v>8068</v>
      </c>
    </row>
    <row r="7954" spans="1:9" x14ac:dyDescent="0.3">
      <c r="A7954" t="s">
        <v>10145</v>
      </c>
      <c r="B7954" t="s">
        <v>90</v>
      </c>
      <c r="C7954">
        <v>9406582649</v>
      </c>
      <c r="D7954" s="2">
        <v>1</v>
      </c>
      <c r="E7954" t="str">
        <f>"4574674200909406"</f>
        <v>4574674200909406</v>
      </c>
      <c r="F7954" t="str">
        <f>"035"</f>
        <v>035</v>
      </c>
      <c r="G7954">
        <v>1</v>
      </c>
      <c r="H7954">
        <v>2023</v>
      </c>
      <c r="I7954" t="s">
        <v>8069</v>
      </c>
    </row>
    <row r="7955" spans="1:9" x14ac:dyDescent="0.3">
      <c r="A7955" t="s">
        <v>10145</v>
      </c>
      <c r="B7955" t="s">
        <v>90</v>
      </c>
      <c r="C7955">
        <v>9406582649</v>
      </c>
      <c r="D7955" s="2">
        <v>1</v>
      </c>
      <c r="E7955" t="str">
        <f>"4574674200909448"</f>
        <v>4574674200909448</v>
      </c>
      <c r="F7955" t="str">
        <f>"749"</f>
        <v>749</v>
      </c>
      <c r="G7955">
        <v>1</v>
      </c>
      <c r="H7955">
        <v>2023</v>
      </c>
      <c r="I7955" t="s">
        <v>8070</v>
      </c>
    </row>
    <row r="7956" spans="1:9" x14ac:dyDescent="0.3">
      <c r="A7956" t="s">
        <v>10145</v>
      </c>
      <c r="B7956" t="s">
        <v>90</v>
      </c>
      <c r="C7956">
        <v>9406582649</v>
      </c>
      <c r="D7956" s="2">
        <v>1</v>
      </c>
      <c r="E7956" t="str">
        <f>"4574674200909463"</f>
        <v>4574674200909463</v>
      </c>
      <c r="F7956" t="str">
        <f>"942"</f>
        <v>942</v>
      </c>
      <c r="G7956">
        <v>1</v>
      </c>
      <c r="H7956">
        <v>2023</v>
      </c>
      <c r="I7956" t="s">
        <v>8071</v>
      </c>
    </row>
    <row r="7957" spans="1:9" x14ac:dyDescent="0.3">
      <c r="A7957" t="s">
        <v>10146</v>
      </c>
      <c r="B7957" t="s">
        <v>91</v>
      </c>
      <c r="C7957">
        <v>9406582649</v>
      </c>
      <c r="D7957" s="2">
        <v>1</v>
      </c>
      <c r="E7957" t="str">
        <f>"4574674200909497"</f>
        <v>4574674200909497</v>
      </c>
      <c r="F7957" t="str">
        <f>"010"</f>
        <v>010</v>
      </c>
      <c r="G7957">
        <v>1</v>
      </c>
      <c r="H7957">
        <v>2023</v>
      </c>
      <c r="I7957" t="s">
        <v>8072</v>
      </c>
    </row>
    <row r="7958" spans="1:9" x14ac:dyDescent="0.3">
      <c r="A7958" t="s">
        <v>10146</v>
      </c>
      <c r="B7958" t="s">
        <v>91</v>
      </c>
      <c r="C7958">
        <v>9406582649</v>
      </c>
      <c r="D7958" s="2">
        <v>1</v>
      </c>
      <c r="E7958" t="str">
        <f>"4574674200909505"</f>
        <v>4574674200909505</v>
      </c>
      <c r="F7958" t="str">
        <f>"232"</f>
        <v>232</v>
      </c>
      <c r="G7958">
        <v>1</v>
      </c>
      <c r="H7958">
        <v>2023</v>
      </c>
      <c r="I7958" t="s">
        <v>8073</v>
      </c>
    </row>
    <row r="7959" spans="1:9" x14ac:dyDescent="0.3">
      <c r="A7959" t="s">
        <v>10146</v>
      </c>
      <c r="B7959" t="s">
        <v>91</v>
      </c>
      <c r="C7959">
        <v>9406582649</v>
      </c>
      <c r="D7959" s="2">
        <v>1</v>
      </c>
      <c r="E7959" t="str">
        <f>"4574674200909315"</f>
        <v>4574674200909315</v>
      </c>
      <c r="F7959" t="str">
        <f>"451"</f>
        <v>451</v>
      </c>
      <c r="G7959">
        <v>1</v>
      </c>
      <c r="H7959">
        <v>2023</v>
      </c>
      <c r="I7959" t="s">
        <v>8074</v>
      </c>
    </row>
    <row r="7960" spans="1:9" x14ac:dyDescent="0.3">
      <c r="A7960" t="s">
        <v>10146</v>
      </c>
      <c r="B7960" t="s">
        <v>91</v>
      </c>
      <c r="C7960">
        <v>9406582649</v>
      </c>
      <c r="D7960" s="2">
        <v>1</v>
      </c>
      <c r="E7960" t="str">
        <f>"4574674200909547"</f>
        <v>4574674200909547</v>
      </c>
      <c r="F7960" t="str">
        <f>"743"</f>
        <v>743</v>
      </c>
      <c r="G7960">
        <v>1</v>
      </c>
      <c r="H7960">
        <v>2023</v>
      </c>
      <c r="I7960" t="s">
        <v>8075</v>
      </c>
    </row>
    <row r="7961" spans="1:9" x14ac:dyDescent="0.3">
      <c r="A7961" t="s">
        <v>10146</v>
      </c>
      <c r="B7961" t="s">
        <v>91</v>
      </c>
      <c r="C7961">
        <v>9406582649</v>
      </c>
      <c r="D7961" s="2">
        <v>1</v>
      </c>
      <c r="E7961" t="str">
        <f>"4574674200909596"</f>
        <v>4574674200909596</v>
      </c>
      <c r="F7961" t="str">
        <f>"126"</f>
        <v>126</v>
      </c>
      <c r="G7961">
        <v>1</v>
      </c>
      <c r="H7961">
        <v>2023</v>
      </c>
      <c r="I7961" t="s">
        <v>8076</v>
      </c>
    </row>
    <row r="7962" spans="1:9" x14ac:dyDescent="0.3">
      <c r="A7962" t="s">
        <v>10146</v>
      </c>
      <c r="B7962" t="s">
        <v>91</v>
      </c>
      <c r="C7962">
        <v>9406582649</v>
      </c>
      <c r="D7962" s="2">
        <v>1</v>
      </c>
      <c r="E7962" t="str">
        <f>"4574674200909570"</f>
        <v>4574674200909570</v>
      </c>
      <c r="F7962" t="str">
        <f>"941"</f>
        <v>941</v>
      </c>
      <c r="G7962">
        <v>1</v>
      </c>
      <c r="H7962">
        <v>2023</v>
      </c>
      <c r="I7962" t="s">
        <v>8077</v>
      </c>
    </row>
    <row r="7963" spans="1:9" x14ac:dyDescent="0.3">
      <c r="A7963" t="s">
        <v>10146</v>
      </c>
      <c r="B7963" t="s">
        <v>91</v>
      </c>
      <c r="C7963">
        <v>9406582649</v>
      </c>
      <c r="D7963" s="2">
        <v>1</v>
      </c>
      <c r="E7963" t="str">
        <f>"4574674200909653"</f>
        <v>4574674200909653</v>
      </c>
      <c r="F7963" t="str">
        <f>"911"</f>
        <v>911</v>
      </c>
      <c r="G7963">
        <v>1</v>
      </c>
      <c r="H7963">
        <v>2023</v>
      </c>
      <c r="I7963" t="s">
        <v>8078</v>
      </c>
    </row>
    <row r="7964" spans="1:9" x14ac:dyDescent="0.3">
      <c r="A7964" t="s">
        <v>10146</v>
      </c>
      <c r="B7964" t="s">
        <v>91</v>
      </c>
      <c r="C7964">
        <v>9406582649</v>
      </c>
      <c r="D7964" s="2">
        <v>1</v>
      </c>
      <c r="E7964" t="str">
        <f>"4574674200909679"</f>
        <v>4574674200909679</v>
      </c>
      <c r="F7964" t="str">
        <f>"158"</f>
        <v>158</v>
      </c>
      <c r="G7964">
        <v>1</v>
      </c>
      <c r="H7964">
        <v>2023</v>
      </c>
      <c r="I7964" t="s">
        <v>8079</v>
      </c>
    </row>
    <row r="7965" spans="1:9" x14ac:dyDescent="0.3">
      <c r="A7965" t="s">
        <v>10146</v>
      </c>
      <c r="B7965" t="s">
        <v>91</v>
      </c>
      <c r="C7965">
        <v>9406582649</v>
      </c>
      <c r="D7965" s="2">
        <v>1</v>
      </c>
      <c r="E7965" t="str">
        <f>"4574674200909711"</f>
        <v>4574674200909711</v>
      </c>
      <c r="F7965" t="str">
        <f>"314"</f>
        <v>314</v>
      </c>
      <c r="G7965">
        <v>1</v>
      </c>
      <c r="H7965">
        <v>2023</v>
      </c>
      <c r="I7965" t="s">
        <v>8080</v>
      </c>
    </row>
    <row r="7966" spans="1:9" x14ac:dyDescent="0.3">
      <c r="A7966" t="s">
        <v>10146</v>
      </c>
      <c r="B7966" t="s">
        <v>91</v>
      </c>
      <c r="C7966">
        <v>9406582649</v>
      </c>
      <c r="D7966" s="2">
        <v>1</v>
      </c>
      <c r="E7966" t="str">
        <f>"4574674200909729"</f>
        <v>4574674200909729</v>
      </c>
      <c r="F7966" t="str">
        <f>"409"</f>
        <v>409</v>
      </c>
      <c r="G7966">
        <v>1</v>
      </c>
      <c r="H7966">
        <v>2023</v>
      </c>
      <c r="I7966" t="s">
        <v>8081</v>
      </c>
    </row>
    <row r="7967" spans="1:9" x14ac:dyDescent="0.3">
      <c r="A7967" t="s">
        <v>10147</v>
      </c>
      <c r="B7967" t="s">
        <v>92</v>
      </c>
      <c r="C7967">
        <v>9406582649</v>
      </c>
      <c r="D7967" s="2">
        <v>1</v>
      </c>
      <c r="E7967" t="str">
        <f>"4574674200909737"</f>
        <v>4574674200909737</v>
      </c>
      <c r="F7967" t="str">
        <f>"343"</f>
        <v>343</v>
      </c>
      <c r="G7967">
        <v>1</v>
      </c>
      <c r="H7967">
        <v>2023</v>
      </c>
      <c r="I7967" t="s">
        <v>8082</v>
      </c>
    </row>
    <row r="7968" spans="1:9" x14ac:dyDescent="0.3">
      <c r="A7968" t="s">
        <v>10147</v>
      </c>
      <c r="B7968" t="s">
        <v>92</v>
      </c>
      <c r="C7968">
        <v>9406582649</v>
      </c>
      <c r="D7968" s="2">
        <v>1</v>
      </c>
      <c r="E7968" t="str">
        <f>"4574674200909802"</f>
        <v>4574674200909802</v>
      </c>
      <c r="F7968" t="str">
        <f>"551"</f>
        <v>551</v>
      </c>
      <c r="G7968">
        <v>1</v>
      </c>
      <c r="H7968">
        <v>2023</v>
      </c>
      <c r="I7968" t="s">
        <v>8083</v>
      </c>
    </row>
    <row r="7969" spans="1:9" x14ac:dyDescent="0.3">
      <c r="A7969" t="s">
        <v>10147</v>
      </c>
      <c r="B7969" t="s">
        <v>92</v>
      </c>
      <c r="C7969">
        <v>9406582649</v>
      </c>
      <c r="D7969" s="2">
        <v>1</v>
      </c>
      <c r="E7969" t="str">
        <f>"4574674200909760"</f>
        <v>4574674200909760</v>
      </c>
      <c r="F7969" t="str">
        <f>"383"</f>
        <v>383</v>
      </c>
      <c r="G7969">
        <v>1</v>
      </c>
      <c r="H7969">
        <v>2023</v>
      </c>
      <c r="I7969" t="s">
        <v>8084</v>
      </c>
    </row>
    <row r="7970" spans="1:9" x14ac:dyDescent="0.3">
      <c r="A7970" t="s">
        <v>10147</v>
      </c>
      <c r="B7970" t="s">
        <v>92</v>
      </c>
      <c r="C7970">
        <v>9406582649</v>
      </c>
      <c r="D7970" s="2">
        <v>1</v>
      </c>
      <c r="E7970" t="str">
        <f>"4574674200909794"</f>
        <v>4574674200909794</v>
      </c>
      <c r="F7970" t="str">
        <f>"887"</f>
        <v>887</v>
      </c>
      <c r="G7970">
        <v>1</v>
      </c>
      <c r="H7970">
        <v>2023</v>
      </c>
      <c r="I7970" t="s">
        <v>8085</v>
      </c>
    </row>
    <row r="7971" spans="1:9" x14ac:dyDescent="0.3">
      <c r="A7971" t="s">
        <v>10147</v>
      </c>
      <c r="B7971" t="s">
        <v>92</v>
      </c>
      <c r="C7971">
        <v>9406582649</v>
      </c>
      <c r="D7971" s="2">
        <v>1</v>
      </c>
      <c r="E7971" t="str">
        <f>"4574674200910016"</f>
        <v>4574674200910016</v>
      </c>
      <c r="F7971" t="str">
        <f>"339"</f>
        <v>339</v>
      </c>
      <c r="G7971">
        <v>1</v>
      </c>
      <c r="H7971">
        <v>2023</v>
      </c>
      <c r="I7971" t="s">
        <v>8086</v>
      </c>
    </row>
    <row r="7972" spans="1:9" x14ac:dyDescent="0.3">
      <c r="A7972" t="s">
        <v>10147</v>
      </c>
      <c r="B7972" t="s">
        <v>92</v>
      </c>
      <c r="C7972">
        <v>9406582649</v>
      </c>
      <c r="D7972" s="2">
        <v>1</v>
      </c>
      <c r="E7972" t="str">
        <f>"4574674200910040"</f>
        <v>4574674200910040</v>
      </c>
      <c r="F7972" t="str">
        <f>"468"</f>
        <v>468</v>
      </c>
      <c r="G7972">
        <v>1</v>
      </c>
      <c r="H7972">
        <v>2023</v>
      </c>
      <c r="I7972" t="s">
        <v>8087</v>
      </c>
    </row>
    <row r="7973" spans="1:9" x14ac:dyDescent="0.3">
      <c r="A7973" t="s">
        <v>10147</v>
      </c>
      <c r="B7973" t="s">
        <v>92</v>
      </c>
      <c r="C7973">
        <v>9406582649</v>
      </c>
      <c r="D7973" s="2">
        <v>1</v>
      </c>
      <c r="E7973" t="str">
        <f>"4574674200909844"</f>
        <v>4574674200909844</v>
      </c>
      <c r="F7973" t="str">
        <f>"993"</f>
        <v>993</v>
      </c>
      <c r="G7973">
        <v>1</v>
      </c>
      <c r="H7973">
        <v>2023</v>
      </c>
      <c r="I7973" t="s">
        <v>8088</v>
      </c>
    </row>
    <row r="7974" spans="1:9" x14ac:dyDescent="0.3">
      <c r="A7974" t="s">
        <v>10147</v>
      </c>
      <c r="B7974" t="s">
        <v>92</v>
      </c>
      <c r="C7974">
        <v>9406582649</v>
      </c>
      <c r="D7974" s="2">
        <v>1</v>
      </c>
      <c r="E7974" t="str">
        <f>"4574674200910065"</f>
        <v>4574674200910065</v>
      </c>
      <c r="F7974" t="str">
        <f>"532"</f>
        <v>532</v>
      </c>
      <c r="G7974">
        <v>1</v>
      </c>
      <c r="H7974">
        <v>2023</v>
      </c>
      <c r="I7974" t="s">
        <v>8089</v>
      </c>
    </row>
    <row r="7975" spans="1:9" x14ac:dyDescent="0.3">
      <c r="A7975" t="s">
        <v>10147</v>
      </c>
      <c r="B7975" t="s">
        <v>92</v>
      </c>
      <c r="C7975">
        <v>9406582649</v>
      </c>
      <c r="D7975" s="2">
        <v>1</v>
      </c>
      <c r="E7975" t="str">
        <f>"4574674200910081"</f>
        <v>4574674200910081</v>
      </c>
      <c r="F7975" t="str">
        <f>"337"</f>
        <v>337</v>
      </c>
      <c r="G7975">
        <v>1</v>
      </c>
      <c r="H7975">
        <v>2023</v>
      </c>
      <c r="I7975" t="s">
        <v>8090</v>
      </c>
    </row>
    <row r="7976" spans="1:9" x14ac:dyDescent="0.3">
      <c r="A7976" t="s">
        <v>10147</v>
      </c>
      <c r="B7976" t="s">
        <v>92</v>
      </c>
      <c r="C7976">
        <v>9406582649</v>
      </c>
      <c r="D7976" s="2">
        <v>1</v>
      </c>
      <c r="E7976" t="str">
        <f>"4574674200910131"</f>
        <v>4574674200910131</v>
      </c>
      <c r="F7976" t="str">
        <f>"754"</f>
        <v>754</v>
      </c>
      <c r="G7976">
        <v>1</v>
      </c>
      <c r="H7976">
        <v>2023</v>
      </c>
      <c r="I7976" t="s">
        <v>8091</v>
      </c>
    </row>
    <row r="7977" spans="1:9" x14ac:dyDescent="0.3">
      <c r="A7977" t="s">
        <v>10148</v>
      </c>
      <c r="B7977" t="s">
        <v>93</v>
      </c>
      <c r="C7977">
        <v>9406582649</v>
      </c>
      <c r="D7977" s="2">
        <v>1</v>
      </c>
      <c r="E7977" t="str">
        <f>"4574674200910164"</f>
        <v>4574674200910164</v>
      </c>
      <c r="F7977" t="str">
        <f>"264"</f>
        <v>264</v>
      </c>
      <c r="G7977">
        <v>1</v>
      </c>
      <c r="H7977">
        <v>2023</v>
      </c>
      <c r="I7977" t="s">
        <v>8092</v>
      </c>
    </row>
    <row r="7978" spans="1:9" x14ac:dyDescent="0.3">
      <c r="A7978" t="s">
        <v>10148</v>
      </c>
      <c r="B7978" t="s">
        <v>93</v>
      </c>
      <c r="C7978">
        <v>9406582649</v>
      </c>
      <c r="D7978" s="2">
        <v>1</v>
      </c>
      <c r="E7978" t="str">
        <f>"4574674200910198"</f>
        <v>4574674200910198</v>
      </c>
      <c r="F7978" t="str">
        <f>"801"</f>
        <v>801</v>
      </c>
      <c r="G7978">
        <v>1</v>
      </c>
      <c r="H7978">
        <v>2023</v>
      </c>
      <c r="I7978" t="s">
        <v>8093</v>
      </c>
    </row>
    <row r="7979" spans="1:9" x14ac:dyDescent="0.3">
      <c r="A7979" t="s">
        <v>10148</v>
      </c>
      <c r="B7979" t="s">
        <v>93</v>
      </c>
      <c r="C7979">
        <v>9406582649</v>
      </c>
      <c r="D7979" s="2">
        <v>1</v>
      </c>
      <c r="E7979" t="str">
        <f>"4574674200910248"</f>
        <v>4574674200910248</v>
      </c>
      <c r="F7979" t="str">
        <f>"770"</f>
        <v>770</v>
      </c>
      <c r="G7979">
        <v>1</v>
      </c>
      <c r="H7979">
        <v>2023</v>
      </c>
      <c r="I7979" t="s">
        <v>8094</v>
      </c>
    </row>
    <row r="7980" spans="1:9" x14ac:dyDescent="0.3">
      <c r="A7980" t="s">
        <v>10148</v>
      </c>
      <c r="B7980" t="s">
        <v>93</v>
      </c>
      <c r="C7980">
        <v>9406582649</v>
      </c>
      <c r="D7980" s="2">
        <v>1</v>
      </c>
      <c r="E7980" t="str">
        <f>"4574674200910255"</f>
        <v>4574674200910255</v>
      </c>
      <c r="F7980" t="str">
        <f>"345"</f>
        <v>345</v>
      </c>
      <c r="G7980">
        <v>1</v>
      </c>
      <c r="H7980">
        <v>2023</v>
      </c>
      <c r="I7980" t="s">
        <v>8095</v>
      </c>
    </row>
    <row r="7981" spans="1:9" x14ac:dyDescent="0.3">
      <c r="A7981" t="s">
        <v>10148</v>
      </c>
      <c r="B7981" t="s">
        <v>93</v>
      </c>
      <c r="C7981">
        <v>9406582649</v>
      </c>
      <c r="D7981" s="2">
        <v>1</v>
      </c>
      <c r="E7981" t="str">
        <f>"4574674200909927"</f>
        <v>4574674200909927</v>
      </c>
      <c r="F7981" t="str">
        <f>"352"</f>
        <v>352</v>
      </c>
      <c r="G7981">
        <v>1</v>
      </c>
      <c r="H7981">
        <v>2023</v>
      </c>
      <c r="I7981" t="s">
        <v>8096</v>
      </c>
    </row>
    <row r="7982" spans="1:9" x14ac:dyDescent="0.3">
      <c r="A7982" t="s">
        <v>10148</v>
      </c>
      <c r="B7982" t="s">
        <v>93</v>
      </c>
      <c r="C7982">
        <v>9406582649</v>
      </c>
      <c r="D7982" s="2">
        <v>1</v>
      </c>
      <c r="E7982" t="str">
        <f>"4574674200910339"</f>
        <v>4574674200910339</v>
      </c>
      <c r="F7982" t="str">
        <f>"297"</f>
        <v>297</v>
      </c>
      <c r="G7982">
        <v>1</v>
      </c>
      <c r="H7982">
        <v>2023</v>
      </c>
      <c r="I7982" t="s">
        <v>8097</v>
      </c>
    </row>
    <row r="7983" spans="1:9" x14ac:dyDescent="0.3">
      <c r="A7983" t="s">
        <v>10148</v>
      </c>
      <c r="B7983" t="s">
        <v>93</v>
      </c>
      <c r="C7983">
        <v>9406582649</v>
      </c>
      <c r="D7983" s="2">
        <v>1</v>
      </c>
      <c r="E7983" t="str">
        <f>"4574674200910305"</f>
        <v>4574674200910305</v>
      </c>
      <c r="F7983" t="str">
        <f>"697"</f>
        <v>697</v>
      </c>
      <c r="G7983">
        <v>1</v>
      </c>
      <c r="H7983">
        <v>2023</v>
      </c>
      <c r="I7983" t="s">
        <v>8098</v>
      </c>
    </row>
    <row r="7984" spans="1:9" x14ac:dyDescent="0.3">
      <c r="A7984" t="s">
        <v>10148</v>
      </c>
      <c r="B7984" t="s">
        <v>93</v>
      </c>
      <c r="C7984">
        <v>9406582649</v>
      </c>
      <c r="D7984" s="2">
        <v>1</v>
      </c>
      <c r="E7984" t="str">
        <f>"4574674200910313"</f>
        <v>4574674200910313</v>
      </c>
      <c r="F7984" t="str">
        <f>"994"</f>
        <v>994</v>
      </c>
      <c r="G7984">
        <v>1</v>
      </c>
      <c r="H7984">
        <v>2023</v>
      </c>
      <c r="I7984" t="s">
        <v>8099</v>
      </c>
    </row>
    <row r="7985" spans="1:9" x14ac:dyDescent="0.3">
      <c r="A7985" t="s">
        <v>10148</v>
      </c>
      <c r="B7985" t="s">
        <v>93</v>
      </c>
      <c r="C7985">
        <v>9406582649</v>
      </c>
      <c r="D7985" s="2">
        <v>1</v>
      </c>
      <c r="E7985" t="str">
        <f>"4574674200909968"</f>
        <v>4574674200909968</v>
      </c>
      <c r="F7985" t="str">
        <f>"932"</f>
        <v>932</v>
      </c>
      <c r="G7985">
        <v>1</v>
      </c>
      <c r="H7985">
        <v>2023</v>
      </c>
      <c r="I7985" t="s">
        <v>8100</v>
      </c>
    </row>
    <row r="7986" spans="1:9" x14ac:dyDescent="0.3">
      <c r="A7986" t="s">
        <v>10148</v>
      </c>
      <c r="B7986" t="s">
        <v>93</v>
      </c>
      <c r="C7986">
        <v>9406582649</v>
      </c>
      <c r="D7986" s="2">
        <v>1</v>
      </c>
      <c r="E7986" t="str">
        <f>"4574674200910602"</f>
        <v>4574674200910602</v>
      </c>
      <c r="F7986" t="str">
        <f>"319"</f>
        <v>319</v>
      </c>
      <c r="G7986">
        <v>1</v>
      </c>
      <c r="H7986">
        <v>2023</v>
      </c>
      <c r="I7986" t="s">
        <v>8101</v>
      </c>
    </row>
    <row r="7987" spans="1:9" x14ac:dyDescent="0.3">
      <c r="A7987" t="s">
        <v>10149</v>
      </c>
      <c r="B7987" t="s">
        <v>94</v>
      </c>
      <c r="C7987">
        <v>9406582649</v>
      </c>
      <c r="D7987" s="2">
        <v>1</v>
      </c>
      <c r="E7987" t="str">
        <f>"4574674200910628"</f>
        <v>4574674200910628</v>
      </c>
      <c r="F7987" t="str">
        <f>"123"</f>
        <v>123</v>
      </c>
      <c r="G7987">
        <v>1</v>
      </c>
      <c r="H7987">
        <v>2023</v>
      </c>
      <c r="I7987" t="s">
        <v>8102</v>
      </c>
    </row>
    <row r="7988" spans="1:9" x14ac:dyDescent="0.3">
      <c r="A7988" t="s">
        <v>10149</v>
      </c>
      <c r="B7988" t="s">
        <v>94</v>
      </c>
      <c r="C7988">
        <v>9406582649</v>
      </c>
      <c r="D7988" s="2">
        <v>1</v>
      </c>
      <c r="E7988" t="str">
        <f>"4574674200910693"</f>
        <v>4574674200910693</v>
      </c>
      <c r="F7988" t="str">
        <f>"571"</f>
        <v>571</v>
      </c>
      <c r="G7988">
        <v>1</v>
      </c>
      <c r="H7988">
        <v>2023</v>
      </c>
      <c r="I7988" t="s">
        <v>8103</v>
      </c>
    </row>
    <row r="7989" spans="1:9" x14ac:dyDescent="0.3">
      <c r="A7989" t="s">
        <v>10149</v>
      </c>
      <c r="B7989" t="s">
        <v>94</v>
      </c>
      <c r="C7989">
        <v>9406582649</v>
      </c>
      <c r="D7989" s="2">
        <v>1</v>
      </c>
      <c r="E7989" t="str">
        <f>"4574674200910701"</f>
        <v>4574674200910701</v>
      </c>
      <c r="F7989" t="str">
        <f>"524"</f>
        <v>524</v>
      </c>
      <c r="G7989">
        <v>1</v>
      </c>
      <c r="H7989">
        <v>2023</v>
      </c>
      <c r="I7989" t="s">
        <v>8104</v>
      </c>
    </row>
    <row r="7990" spans="1:9" x14ac:dyDescent="0.3">
      <c r="A7990" t="s">
        <v>10149</v>
      </c>
      <c r="B7990" t="s">
        <v>94</v>
      </c>
      <c r="C7990">
        <v>9406582649</v>
      </c>
      <c r="D7990" s="2">
        <v>1</v>
      </c>
      <c r="E7990" t="str">
        <f>"4574674200910719"</f>
        <v>4574674200910719</v>
      </c>
      <c r="F7990" t="str">
        <f>"400"</f>
        <v>400</v>
      </c>
      <c r="G7990">
        <v>1</v>
      </c>
      <c r="H7990">
        <v>2023</v>
      </c>
      <c r="I7990" t="s">
        <v>8105</v>
      </c>
    </row>
    <row r="7991" spans="1:9" x14ac:dyDescent="0.3">
      <c r="A7991" t="s">
        <v>10149</v>
      </c>
      <c r="B7991" t="s">
        <v>94</v>
      </c>
      <c r="C7991">
        <v>9406582649</v>
      </c>
      <c r="D7991" s="2">
        <v>1</v>
      </c>
      <c r="E7991" t="str">
        <f>"4574674200910461"</f>
        <v>4574674200910461</v>
      </c>
      <c r="F7991" t="str">
        <f>"957"</f>
        <v>957</v>
      </c>
      <c r="G7991">
        <v>1</v>
      </c>
      <c r="H7991">
        <v>2023</v>
      </c>
      <c r="I7991" t="s">
        <v>8106</v>
      </c>
    </row>
    <row r="7992" spans="1:9" x14ac:dyDescent="0.3">
      <c r="A7992" t="s">
        <v>10149</v>
      </c>
      <c r="B7992" t="s">
        <v>94</v>
      </c>
      <c r="C7992">
        <v>9406582649</v>
      </c>
      <c r="D7992" s="2">
        <v>1</v>
      </c>
      <c r="E7992" t="str">
        <f>"4574674200910784"</f>
        <v>4574674200910784</v>
      </c>
      <c r="F7992" t="str">
        <f>"892"</f>
        <v>892</v>
      </c>
      <c r="G7992">
        <v>1</v>
      </c>
      <c r="H7992">
        <v>2023</v>
      </c>
      <c r="I7992" t="s">
        <v>8107</v>
      </c>
    </row>
    <row r="7993" spans="1:9" x14ac:dyDescent="0.3">
      <c r="A7993" t="s">
        <v>10149</v>
      </c>
      <c r="B7993" t="s">
        <v>94</v>
      </c>
      <c r="C7993">
        <v>9406582649</v>
      </c>
      <c r="D7993" s="2">
        <v>1</v>
      </c>
      <c r="E7993" t="str">
        <f>"4574674200910776"</f>
        <v>4574674200910776</v>
      </c>
      <c r="F7993" t="str">
        <f>"177"</f>
        <v>177</v>
      </c>
      <c r="G7993">
        <v>1</v>
      </c>
      <c r="H7993">
        <v>2023</v>
      </c>
      <c r="I7993" t="s">
        <v>8108</v>
      </c>
    </row>
    <row r="7994" spans="1:9" x14ac:dyDescent="0.3">
      <c r="A7994" t="s">
        <v>10149</v>
      </c>
      <c r="B7994" t="s">
        <v>94</v>
      </c>
      <c r="C7994">
        <v>9406582649</v>
      </c>
      <c r="D7994" s="2">
        <v>1</v>
      </c>
      <c r="E7994" t="str">
        <f>"4574674200910883"</f>
        <v>4574674200910883</v>
      </c>
      <c r="F7994" t="str">
        <f>"231"</f>
        <v>231</v>
      </c>
      <c r="G7994">
        <v>1</v>
      </c>
      <c r="H7994">
        <v>2023</v>
      </c>
      <c r="I7994" t="s">
        <v>8109</v>
      </c>
    </row>
    <row r="7995" spans="1:9" x14ac:dyDescent="0.3">
      <c r="A7995" t="s">
        <v>10149</v>
      </c>
      <c r="B7995" t="s">
        <v>94</v>
      </c>
      <c r="C7995">
        <v>9406582649</v>
      </c>
      <c r="D7995" s="2">
        <v>1</v>
      </c>
      <c r="E7995" t="str">
        <f>"4574674200910859"</f>
        <v>4574674200910859</v>
      </c>
      <c r="F7995" t="str">
        <f>"509"</f>
        <v>509</v>
      </c>
      <c r="G7995">
        <v>1</v>
      </c>
      <c r="H7995">
        <v>2023</v>
      </c>
      <c r="I7995" t="s">
        <v>8110</v>
      </c>
    </row>
    <row r="7996" spans="1:9" x14ac:dyDescent="0.3">
      <c r="A7996" t="s">
        <v>10149</v>
      </c>
      <c r="B7996" t="s">
        <v>94</v>
      </c>
      <c r="C7996">
        <v>9406582649</v>
      </c>
      <c r="D7996" s="2">
        <v>1</v>
      </c>
      <c r="E7996" t="str">
        <f>"4574674200910875"</f>
        <v>4574674200910875</v>
      </c>
      <c r="F7996" t="str">
        <f>"993"</f>
        <v>993</v>
      </c>
      <c r="G7996">
        <v>1</v>
      </c>
      <c r="H7996">
        <v>2023</v>
      </c>
      <c r="I7996" t="s">
        <v>8111</v>
      </c>
    </row>
    <row r="7997" spans="1:9" x14ac:dyDescent="0.3">
      <c r="A7997" t="s">
        <v>10118</v>
      </c>
      <c r="B7997" t="s">
        <v>95</v>
      </c>
      <c r="C7997">
        <v>9406582649</v>
      </c>
      <c r="D7997" s="2">
        <v>1</v>
      </c>
      <c r="E7997" t="str">
        <f>"4574674200910511"</f>
        <v>4574674200910511</v>
      </c>
      <c r="F7997" t="str">
        <f>"334"</f>
        <v>334</v>
      </c>
      <c r="G7997">
        <v>1</v>
      </c>
      <c r="H7997">
        <v>2023</v>
      </c>
      <c r="I7997" t="s">
        <v>8112</v>
      </c>
    </row>
    <row r="7998" spans="1:9" x14ac:dyDescent="0.3">
      <c r="A7998" t="s">
        <v>10118</v>
      </c>
      <c r="B7998" t="s">
        <v>95</v>
      </c>
      <c r="C7998">
        <v>9406582649</v>
      </c>
      <c r="D7998" s="2">
        <v>1</v>
      </c>
      <c r="E7998" t="str">
        <f>"4574674200910925"</f>
        <v>4574674200910925</v>
      </c>
      <c r="F7998" t="str">
        <f>"331"</f>
        <v>331</v>
      </c>
      <c r="G7998">
        <v>1</v>
      </c>
      <c r="H7998">
        <v>2023</v>
      </c>
      <c r="I7998" t="s">
        <v>8113</v>
      </c>
    </row>
    <row r="7999" spans="1:9" x14ac:dyDescent="0.3">
      <c r="A7999" t="s">
        <v>10118</v>
      </c>
      <c r="B7999" t="s">
        <v>95</v>
      </c>
      <c r="C7999">
        <v>9406582649</v>
      </c>
      <c r="D7999" s="2">
        <v>1</v>
      </c>
      <c r="E7999" t="str">
        <f>"4574674200910958"</f>
        <v>4574674200910958</v>
      </c>
      <c r="F7999" t="str">
        <f>"243"</f>
        <v>243</v>
      </c>
      <c r="G7999">
        <v>1</v>
      </c>
      <c r="H7999">
        <v>2023</v>
      </c>
      <c r="I7999" t="s">
        <v>8114</v>
      </c>
    </row>
    <row r="8000" spans="1:9" x14ac:dyDescent="0.3">
      <c r="A8000" t="s">
        <v>10118</v>
      </c>
      <c r="B8000" t="s">
        <v>95</v>
      </c>
      <c r="C8000">
        <v>9406582649</v>
      </c>
      <c r="D8000" s="2">
        <v>1</v>
      </c>
      <c r="E8000" t="str">
        <f>"4574674200910578"</f>
        <v>4574674200910578</v>
      </c>
      <c r="F8000" t="str">
        <f>"461"</f>
        <v>461</v>
      </c>
      <c r="G8000">
        <v>1</v>
      </c>
      <c r="H8000">
        <v>2023</v>
      </c>
      <c r="I8000" t="s">
        <v>8115</v>
      </c>
    </row>
    <row r="8001" spans="1:9" x14ac:dyDescent="0.3">
      <c r="A8001" t="s">
        <v>10118</v>
      </c>
      <c r="B8001" t="s">
        <v>95</v>
      </c>
      <c r="C8001">
        <v>9406582649</v>
      </c>
      <c r="D8001" s="2">
        <v>1</v>
      </c>
      <c r="E8001" t="str">
        <f>"4574674200911030"</f>
        <v>4574674200911030</v>
      </c>
      <c r="F8001" t="str">
        <f>"619"</f>
        <v>619</v>
      </c>
      <c r="G8001">
        <v>1</v>
      </c>
      <c r="H8001">
        <v>2023</v>
      </c>
      <c r="I8001" t="s">
        <v>8116</v>
      </c>
    </row>
    <row r="8002" spans="1:9" x14ac:dyDescent="0.3">
      <c r="A8002" t="s">
        <v>10118</v>
      </c>
      <c r="B8002" t="s">
        <v>95</v>
      </c>
      <c r="C8002">
        <v>9406582649</v>
      </c>
      <c r="D8002" s="2">
        <v>1</v>
      </c>
      <c r="E8002" t="str">
        <f>"4574674200911006"</f>
        <v>4574674200911006</v>
      </c>
      <c r="F8002" t="str">
        <f>"487"</f>
        <v>487</v>
      </c>
      <c r="G8002">
        <v>1</v>
      </c>
      <c r="H8002">
        <v>2023</v>
      </c>
      <c r="I8002" t="s">
        <v>8117</v>
      </c>
    </row>
    <row r="8003" spans="1:9" x14ac:dyDescent="0.3">
      <c r="A8003" t="s">
        <v>10118</v>
      </c>
      <c r="B8003" t="s">
        <v>95</v>
      </c>
      <c r="C8003">
        <v>9406582649</v>
      </c>
      <c r="D8003" s="2">
        <v>1</v>
      </c>
      <c r="E8003" t="str">
        <f>"4574674200911063"</f>
        <v>4574674200911063</v>
      </c>
      <c r="F8003" t="str">
        <f>"897"</f>
        <v>897</v>
      </c>
      <c r="G8003">
        <v>1</v>
      </c>
      <c r="H8003">
        <v>2023</v>
      </c>
      <c r="I8003" t="s">
        <v>8118</v>
      </c>
    </row>
    <row r="8004" spans="1:9" x14ac:dyDescent="0.3">
      <c r="A8004" t="s">
        <v>10118</v>
      </c>
      <c r="B8004" t="s">
        <v>95</v>
      </c>
      <c r="C8004">
        <v>9406582649</v>
      </c>
      <c r="D8004" s="2">
        <v>1</v>
      </c>
      <c r="E8004" t="str">
        <f>"4574674200911071"</f>
        <v>4574674200911071</v>
      </c>
      <c r="F8004" t="str">
        <f>"715"</f>
        <v>715</v>
      </c>
      <c r="G8004">
        <v>1</v>
      </c>
      <c r="H8004">
        <v>2023</v>
      </c>
      <c r="I8004" t="s">
        <v>8119</v>
      </c>
    </row>
    <row r="8005" spans="1:9" x14ac:dyDescent="0.3">
      <c r="A8005" t="s">
        <v>10118</v>
      </c>
      <c r="B8005" t="s">
        <v>95</v>
      </c>
      <c r="C8005">
        <v>9406582649</v>
      </c>
      <c r="D8005" s="2">
        <v>1</v>
      </c>
      <c r="E8005" t="str">
        <f>"4574674200911253"</f>
        <v>4574674200911253</v>
      </c>
      <c r="F8005" t="str">
        <f>"558"</f>
        <v>558</v>
      </c>
      <c r="G8005">
        <v>1</v>
      </c>
      <c r="H8005">
        <v>2023</v>
      </c>
      <c r="I8005" t="s">
        <v>8120</v>
      </c>
    </row>
    <row r="8006" spans="1:9" x14ac:dyDescent="0.3">
      <c r="A8006" t="s">
        <v>10118</v>
      </c>
      <c r="B8006" t="s">
        <v>95</v>
      </c>
      <c r="C8006">
        <v>9406582649</v>
      </c>
      <c r="D8006" s="2">
        <v>1</v>
      </c>
      <c r="E8006" t="str">
        <f>"4574674200911113"</f>
        <v>4574674200911113</v>
      </c>
      <c r="F8006" t="str">
        <f>"307"</f>
        <v>307</v>
      </c>
      <c r="G8006">
        <v>1</v>
      </c>
      <c r="H8006">
        <v>2023</v>
      </c>
      <c r="I8006" t="s">
        <v>8121</v>
      </c>
    </row>
    <row r="8007" spans="1:9" x14ac:dyDescent="0.3">
      <c r="A8007" t="s">
        <v>10119</v>
      </c>
      <c r="B8007" t="s">
        <v>96</v>
      </c>
      <c r="C8007">
        <v>9406582649</v>
      </c>
      <c r="D8007" s="2">
        <v>1</v>
      </c>
      <c r="E8007" t="str">
        <f>"4574674200911170"</f>
        <v>4574674200911170</v>
      </c>
      <c r="F8007" t="str">
        <f>"026"</f>
        <v>026</v>
      </c>
      <c r="G8007">
        <v>1</v>
      </c>
      <c r="H8007">
        <v>2023</v>
      </c>
      <c r="I8007" t="s">
        <v>8122</v>
      </c>
    </row>
    <row r="8008" spans="1:9" x14ac:dyDescent="0.3">
      <c r="A8008" t="s">
        <v>10119</v>
      </c>
      <c r="B8008" t="s">
        <v>96</v>
      </c>
      <c r="C8008">
        <v>9406582649</v>
      </c>
      <c r="D8008" s="2">
        <v>1</v>
      </c>
      <c r="E8008" t="str">
        <f>"4574674200911410"</f>
        <v>4574674200911410</v>
      </c>
      <c r="F8008" t="str">
        <f>"874"</f>
        <v>874</v>
      </c>
      <c r="G8008">
        <v>1</v>
      </c>
      <c r="H8008">
        <v>2023</v>
      </c>
      <c r="I8008" t="s">
        <v>8123</v>
      </c>
    </row>
    <row r="8009" spans="1:9" x14ac:dyDescent="0.3">
      <c r="A8009" t="s">
        <v>10119</v>
      </c>
      <c r="B8009" t="s">
        <v>96</v>
      </c>
      <c r="C8009">
        <v>9406582649</v>
      </c>
      <c r="D8009" s="2">
        <v>1</v>
      </c>
      <c r="E8009" t="str">
        <f>"4574674200911311"</f>
        <v>4574674200911311</v>
      </c>
      <c r="F8009" t="str">
        <f>"180"</f>
        <v>180</v>
      </c>
      <c r="G8009">
        <v>1</v>
      </c>
      <c r="H8009">
        <v>2023</v>
      </c>
      <c r="I8009" t="s">
        <v>8124</v>
      </c>
    </row>
    <row r="8010" spans="1:9" x14ac:dyDescent="0.3">
      <c r="A8010" t="s">
        <v>10119</v>
      </c>
      <c r="B8010" t="s">
        <v>96</v>
      </c>
      <c r="C8010">
        <v>9406582649</v>
      </c>
      <c r="D8010" s="2">
        <v>1</v>
      </c>
      <c r="E8010" t="str">
        <f>"4574674200911428"</f>
        <v>4574674200911428</v>
      </c>
      <c r="F8010" t="str">
        <f>"711"</f>
        <v>711</v>
      </c>
      <c r="G8010">
        <v>1</v>
      </c>
      <c r="H8010">
        <v>2023</v>
      </c>
      <c r="I8010" t="s">
        <v>8125</v>
      </c>
    </row>
    <row r="8011" spans="1:9" x14ac:dyDescent="0.3">
      <c r="A8011" t="s">
        <v>10119</v>
      </c>
      <c r="B8011" t="s">
        <v>96</v>
      </c>
      <c r="C8011">
        <v>9406582649</v>
      </c>
      <c r="D8011" s="2">
        <v>1</v>
      </c>
      <c r="E8011" t="str">
        <f>"4574674200911436"</f>
        <v>4574674200911436</v>
      </c>
      <c r="F8011" t="str">
        <f>"026"</f>
        <v>026</v>
      </c>
      <c r="G8011">
        <v>1</v>
      </c>
      <c r="H8011">
        <v>2023</v>
      </c>
      <c r="I8011" t="s">
        <v>8126</v>
      </c>
    </row>
    <row r="8012" spans="1:9" x14ac:dyDescent="0.3">
      <c r="A8012" t="s">
        <v>10119</v>
      </c>
      <c r="B8012" t="s">
        <v>96</v>
      </c>
      <c r="C8012">
        <v>9406582649</v>
      </c>
      <c r="D8012" s="2">
        <v>1</v>
      </c>
      <c r="E8012" t="str">
        <f>"4574674200911469"</f>
        <v>4574674200911469</v>
      </c>
      <c r="F8012" t="str">
        <f>"033"</f>
        <v>033</v>
      </c>
      <c r="G8012">
        <v>1</v>
      </c>
      <c r="H8012">
        <v>2023</v>
      </c>
      <c r="I8012" t="s">
        <v>8127</v>
      </c>
    </row>
    <row r="8013" spans="1:9" x14ac:dyDescent="0.3">
      <c r="A8013" t="s">
        <v>10119</v>
      </c>
      <c r="B8013" t="s">
        <v>96</v>
      </c>
      <c r="C8013">
        <v>9406582649</v>
      </c>
      <c r="D8013" s="2">
        <v>1</v>
      </c>
      <c r="E8013" t="str">
        <f>"4574674200911360"</f>
        <v>4574674200911360</v>
      </c>
      <c r="F8013" t="str">
        <f>"972"</f>
        <v>972</v>
      </c>
      <c r="G8013">
        <v>1</v>
      </c>
      <c r="H8013">
        <v>2023</v>
      </c>
      <c r="I8013" t="s">
        <v>8128</v>
      </c>
    </row>
    <row r="8014" spans="1:9" x14ac:dyDescent="0.3">
      <c r="A8014" t="s">
        <v>10119</v>
      </c>
      <c r="B8014" t="s">
        <v>96</v>
      </c>
      <c r="C8014">
        <v>9406582649</v>
      </c>
      <c r="D8014" s="2">
        <v>1</v>
      </c>
      <c r="E8014" t="str">
        <f>"4574674200911535"</f>
        <v>4574674200911535</v>
      </c>
      <c r="F8014" t="str">
        <f>"777"</f>
        <v>777</v>
      </c>
      <c r="G8014">
        <v>1</v>
      </c>
      <c r="H8014">
        <v>2023</v>
      </c>
      <c r="I8014" t="s">
        <v>8129</v>
      </c>
    </row>
    <row r="8015" spans="1:9" x14ac:dyDescent="0.3">
      <c r="A8015" t="s">
        <v>10119</v>
      </c>
      <c r="B8015" t="s">
        <v>96</v>
      </c>
      <c r="C8015">
        <v>9406582649</v>
      </c>
      <c r="D8015" s="2">
        <v>1</v>
      </c>
      <c r="E8015" t="str">
        <f>"4574674200911568"</f>
        <v>4574674200911568</v>
      </c>
      <c r="F8015" t="str">
        <f>"395"</f>
        <v>395</v>
      </c>
      <c r="G8015">
        <v>1</v>
      </c>
      <c r="H8015">
        <v>2023</v>
      </c>
      <c r="I8015" t="s">
        <v>8130</v>
      </c>
    </row>
    <row r="8016" spans="1:9" x14ac:dyDescent="0.3">
      <c r="A8016" t="s">
        <v>10119</v>
      </c>
      <c r="B8016" t="s">
        <v>96</v>
      </c>
      <c r="C8016">
        <v>9406582649</v>
      </c>
      <c r="D8016" s="2">
        <v>1</v>
      </c>
      <c r="E8016" t="str">
        <f>"4574674200911584"</f>
        <v>4574674200911584</v>
      </c>
      <c r="F8016" t="str">
        <f>"703"</f>
        <v>703</v>
      </c>
      <c r="G8016">
        <v>1</v>
      </c>
      <c r="H8016">
        <v>2023</v>
      </c>
      <c r="I8016" t="s">
        <v>8131</v>
      </c>
    </row>
    <row r="8017" spans="1:9" x14ac:dyDescent="0.3">
      <c r="A8017" t="s">
        <v>10120</v>
      </c>
      <c r="B8017" t="s">
        <v>97</v>
      </c>
      <c r="C8017">
        <v>9406582649</v>
      </c>
      <c r="D8017" s="2">
        <v>1</v>
      </c>
      <c r="E8017" t="str">
        <f>"4574674200911618"</f>
        <v>4574674200911618</v>
      </c>
      <c r="F8017" t="str">
        <f>"916"</f>
        <v>916</v>
      </c>
      <c r="G8017">
        <v>1</v>
      </c>
      <c r="H8017">
        <v>2023</v>
      </c>
      <c r="I8017" t="s">
        <v>8132</v>
      </c>
    </row>
    <row r="8018" spans="1:9" x14ac:dyDescent="0.3">
      <c r="A8018" t="s">
        <v>10120</v>
      </c>
      <c r="B8018" t="s">
        <v>97</v>
      </c>
      <c r="C8018">
        <v>9406582649</v>
      </c>
      <c r="D8018" s="2">
        <v>1</v>
      </c>
      <c r="E8018" t="str">
        <f>"4574674200911808"</f>
        <v>4574674200911808</v>
      </c>
      <c r="F8018" t="str">
        <f>"446"</f>
        <v>446</v>
      </c>
      <c r="G8018">
        <v>1</v>
      </c>
      <c r="H8018">
        <v>2023</v>
      </c>
      <c r="I8018" t="s">
        <v>8133</v>
      </c>
    </row>
    <row r="8019" spans="1:9" x14ac:dyDescent="0.3">
      <c r="A8019" t="s">
        <v>10120</v>
      </c>
      <c r="B8019" t="s">
        <v>97</v>
      </c>
      <c r="C8019">
        <v>9406582649</v>
      </c>
      <c r="D8019" s="2">
        <v>1</v>
      </c>
      <c r="E8019" t="str">
        <f>"4574674200911642"</f>
        <v>4574674200911642</v>
      </c>
      <c r="F8019" t="str">
        <f>"062"</f>
        <v>062</v>
      </c>
      <c r="G8019">
        <v>1</v>
      </c>
      <c r="H8019">
        <v>2023</v>
      </c>
      <c r="I8019" t="s">
        <v>8134</v>
      </c>
    </row>
    <row r="8020" spans="1:9" x14ac:dyDescent="0.3">
      <c r="A8020" t="s">
        <v>10120</v>
      </c>
      <c r="B8020" t="s">
        <v>97</v>
      </c>
      <c r="C8020">
        <v>9406582649</v>
      </c>
      <c r="D8020" s="2">
        <v>1</v>
      </c>
      <c r="E8020" t="str">
        <f>"4574674200911709"</f>
        <v>4574674200911709</v>
      </c>
      <c r="F8020" t="str">
        <f>"501"</f>
        <v>501</v>
      </c>
      <c r="G8020">
        <v>1</v>
      </c>
      <c r="H8020">
        <v>2023</v>
      </c>
      <c r="I8020" t="s">
        <v>8135</v>
      </c>
    </row>
    <row r="8021" spans="1:9" x14ac:dyDescent="0.3">
      <c r="A8021" t="s">
        <v>10120</v>
      </c>
      <c r="B8021" t="s">
        <v>97</v>
      </c>
      <c r="C8021">
        <v>9406582649</v>
      </c>
      <c r="D8021" s="2">
        <v>1</v>
      </c>
      <c r="E8021" t="str">
        <f>"4574674200911675"</f>
        <v>4574674200911675</v>
      </c>
      <c r="F8021" t="str">
        <f>"010"</f>
        <v>010</v>
      </c>
      <c r="G8021">
        <v>1</v>
      </c>
      <c r="H8021">
        <v>2023</v>
      </c>
      <c r="I8021" t="s">
        <v>8136</v>
      </c>
    </row>
    <row r="8022" spans="1:9" x14ac:dyDescent="0.3">
      <c r="A8022" t="s">
        <v>10120</v>
      </c>
      <c r="B8022" t="s">
        <v>97</v>
      </c>
      <c r="C8022">
        <v>9406582649</v>
      </c>
      <c r="D8022" s="2">
        <v>1</v>
      </c>
      <c r="E8022" t="str">
        <f>"4574674200911741"</f>
        <v>4574674200911741</v>
      </c>
      <c r="F8022" t="str">
        <f>"097"</f>
        <v>097</v>
      </c>
      <c r="G8022">
        <v>1</v>
      </c>
      <c r="H8022">
        <v>2023</v>
      </c>
      <c r="I8022" t="s">
        <v>8137</v>
      </c>
    </row>
    <row r="8023" spans="1:9" x14ac:dyDescent="0.3">
      <c r="A8023" t="s">
        <v>10120</v>
      </c>
      <c r="B8023" t="s">
        <v>97</v>
      </c>
      <c r="C8023">
        <v>9406582649</v>
      </c>
      <c r="D8023" s="2">
        <v>1</v>
      </c>
      <c r="E8023" t="str">
        <f>"4574674200911766"</f>
        <v>4574674200911766</v>
      </c>
      <c r="F8023" t="str">
        <f>"494"</f>
        <v>494</v>
      </c>
      <c r="G8023">
        <v>1</v>
      </c>
      <c r="H8023">
        <v>2023</v>
      </c>
      <c r="I8023" t="s">
        <v>8138</v>
      </c>
    </row>
    <row r="8024" spans="1:9" x14ac:dyDescent="0.3">
      <c r="A8024" t="s">
        <v>10120</v>
      </c>
      <c r="B8024" t="s">
        <v>97</v>
      </c>
      <c r="C8024">
        <v>9406582649</v>
      </c>
      <c r="D8024" s="2">
        <v>1</v>
      </c>
      <c r="E8024" t="str">
        <f>"4574674200912004"</f>
        <v>4574674200912004</v>
      </c>
      <c r="F8024" t="str">
        <f>"621"</f>
        <v>621</v>
      </c>
      <c r="G8024">
        <v>1</v>
      </c>
      <c r="H8024">
        <v>2023</v>
      </c>
      <c r="I8024" t="s">
        <v>8139</v>
      </c>
    </row>
    <row r="8025" spans="1:9" x14ac:dyDescent="0.3">
      <c r="A8025" t="s">
        <v>10120</v>
      </c>
      <c r="B8025" t="s">
        <v>97</v>
      </c>
      <c r="C8025">
        <v>9406582649</v>
      </c>
      <c r="D8025" s="2">
        <v>1</v>
      </c>
      <c r="E8025" t="str">
        <f>"4574674200912012"</f>
        <v>4574674200912012</v>
      </c>
      <c r="F8025" t="str">
        <f>"468"</f>
        <v>468</v>
      </c>
      <c r="G8025">
        <v>1</v>
      </c>
      <c r="H8025">
        <v>2023</v>
      </c>
      <c r="I8025" t="s">
        <v>8140</v>
      </c>
    </row>
    <row r="8026" spans="1:9" x14ac:dyDescent="0.3">
      <c r="A8026" t="s">
        <v>10120</v>
      </c>
      <c r="B8026" t="s">
        <v>97</v>
      </c>
      <c r="C8026">
        <v>9406582649</v>
      </c>
      <c r="D8026" s="2">
        <v>1</v>
      </c>
      <c r="E8026" t="str">
        <f>"4574674200912079"</f>
        <v>4574674200912079</v>
      </c>
      <c r="F8026" t="str">
        <f>"702"</f>
        <v>702</v>
      </c>
      <c r="G8026">
        <v>1</v>
      </c>
      <c r="H8026">
        <v>2023</v>
      </c>
      <c r="I8026" t="s">
        <v>8141</v>
      </c>
    </row>
    <row r="8027" spans="1:9" x14ac:dyDescent="0.3">
      <c r="A8027" t="s">
        <v>10121</v>
      </c>
      <c r="B8027" t="s">
        <v>98</v>
      </c>
      <c r="C8027">
        <v>9406582649</v>
      </c>
      <c r="D8027" s="2">
        <v>1</v>
      </c>
      <c r="E8027" t="str">
        <f>"4574674200912129"</f>
        <v>4574674200912129</v>
      </c>
      <c r="F8027" t="str">
        <f>"842"</f>
        <v>842</v>
      </c>
      <c r="G8027">
        <v>1</v>
      </c>
      <c r="H8027">
        <v>2023</v>
      </c>
      <c r="I8027" t="s">
        <v>8142</v>
      </c>
    </row>
    <row r="8028" spans="1:9" x14ac:dyDescent="0.3">
      <c r="A8028" t="s">
        <v>10121</v>
      </c>
      <c r="B8028" t="s">
        <v>98</v>
      </c>
      <c r="C8028">
        <v>9406582649</v>
      </c>
      <c r="D8028" s="2">
        <v>1</v>
      </c>
      <c r="E8028" t="str">
        <f>"4574674200912103"</f>
        <v>4574674200912103</v>
      </c>
      <c r="F8028" t="str">
        <f>"613"</f>
        <v>613</v>
      </c>
      <c r="G8028">
        <v>1</v>
      </c>
      <c r="H8028">
        <v>2023</v>
      </c>
      <c r="I8028" t="s">
        <v>8143</v>
      </c>
    </row>
    <row r="8029" spans="1:9" x14ac:dyDescent="0.3">
      <c r="A8029" t="s">
        <v>10121</v>
      </c>
      <c r="B8029" t="s">
        <v>98</v>
      </c>
      <c r="C8029">
        <v>9406582649</v>
      </c>
      <c r="D8029" s="2">
        <v>1</v>
      </c>
      <c r="E8029" t="str">
        <f>"4574674200912152"</f>
        <v>4574674200912152</v>
      </c>
      <c r="F8029" t="str">
        <f>"420"</f>
        <v>420</v>
      </c>
      <c r="G8029">
        <v>1</v>
      </c>
      <c r="H8029">
        <v>2023</v>
      </c>
      <c r="I8029" t="s">
        <v>8144</v>
      </c>
    </row>
    <row r="8030" spans="1:9" x14ac:dyDescent="0.3">
      <c r="A8030" t="s">
        <v>10121</v>
      </c>
      <c r="B8030" t="s">
        <v>98</v>
      </c>
      <c r="C8030">
        <v>9406582649</v>
      </c>
      <c r="D8030" s="2">
        <v>1</v>
      </c>
      <c r="E8030" t="str">
        <f>"4574674200912160"</f>
        <v>4574674200912160</v>
      </c>
      <c r="F8030" t="str">
        <f>"308"</f>
        <v>308</v>
      </c>
      <c r="G8030">
        <v>1</v>
      </c>
      <c r="H8030">
        <v>2023</v>
      </c>
      <c r="I8030" t="s">
        <v>8145</v>
      </c>
    </row>
    <row r="8031" spans="1:9" x14ac:dyDescent="0.3">
      <c r="A8031" t="s">
        <v>10121</v>
      </c>
      <c r="B8031" t="s">
        <v>98</v>
      </c>
      <c r="C8031">
        <v>9406582649</v>
      </c>
      <c r="D8031" s="2">
        <v>1</v>
      </c>
      <c r="E8031" t="str">
        <f>"4574674200912251"</f>
        <v>4574674200912251</v>
      </c>
      <c r="F8031" t="str">
        <f>"688"</f>
        <v>688</v>
      </c>
      <c r="G8031">
        <v>1</v>
      </c>
      <c r="H8031">
        <v>2023</v>
      </c>
      <c r="I8031" t="s">
        <v>8146</v>
      </c>
    </row>
    <row r="8032" spans="1:9" x14ac:dyDescent="0.3">
      <c r="A8032" t="s">
        <v>10121</v>
      </c>
      <c r="B8032" t="s">
        <v>98</v>
      </c>
      <c r="C8032">
        <v>9406582649</v>
      </c>
      <c r="D8032" s="2">
        <v>1</v>
      </c>
      <c r="E8032" t="str">
        <f>"4574674200912418"</f>
        <v>4574674200912418</v>
      </c>
      <c r="F8032" t="str">
        <f>"759"</f>
        <v>759</v>
      </c>
      <c r="G8032">
        <v>1</v>
      </c>
      <c r="H8032">
        <v>2023</v>
      </c>
      <c r="I8032" t="s">
        <v>8147</v>
      </c>
    </row>
    <row r="8033" spans="1:9" x14ac:dyDescent="0.3">
      <c r="A8033" t="s">
        <v>10121</v>
      </c>
      <c r="B8033" t="s">
        <v>98</v>
      </c>
      <c r="C8033">
        <v>9406582649</v>
      </c>
      <c r="D8033" s="2">
        <v>1</v>
      </c>
      <c r="E8033" t="str">
        <f>"4574674200912483"</f>
        <v>4574674200912483</v>
      </c>
      <c r="F8033" t="str">
        <f>"426"</f>
        <v>426</v>
      </c>
      <c r="G8033">
        <v>1</v>
      </c>
      <c r="H8033">
        <v>2023</v>
      </c>
      <c r="I8033" t="s">
        <v>8148</v>
      </c>
    </row>
    <row r="8034" spans="1:9" x14ac:dyDescent="0.3">
      <c r="A8034" t="s">
        <v>10121</v>
      </c>
      <c r="B8034" t="s">
        <v>98</v>
      </c>
      <c r="C8034">
        <v>9406582649</v>
      </c>
      <c r="D8034" s="2">
        <v>1</v>
      </c>
      <c r="E8034" t="str">
        <f>"4574674200912285"</f>
        <v>4574674200912285</v>
      </c>
      <c r="F8034" t="str">
        <f>"520"</f>
        <v>520</v>
      </c>
      <c r="G8034">
        <v>1</v>
      </c>
      <c r="H8034">
        <v>2023</v>
      </c>
      <c r="I8034" t="s">
        <v>8149</v>
      </c>
    </row>
    <row r="8035" spans="1:9" x14ac:dyDescent="0.3">
      <c r="A8035" t="s">
        <v>10121</v>
      </c>
      <c r="B8035" t="s">
        <v>98</v>
      </c>
      <c r="C8035">
        <v>9406582649</v>
      </c>
      <c r="D8035" s="2">
        <v>1</v>
      </c>
      <c r="E8035" t="str">
        <f>"4574674200912301"</f>
        <v>4574674200912301</v>
      </c>
      <c r="F8035" t="str">
        <f>"809"</f>
        <v>809</v>
      </c>
      <c r="G8035">
        <v>1</v>
      </c>
      <c r="H8035">
        <v>2023</v>
      </c>
      <c r="I8035" t="s">
        <v>8150</v>
      </c>
    </row>
    <row r="8036" spans="1:9" x14ac:dyDescent="0.3">
      <c r="A8036" t="s">
        <v>10121</v>
      </c>
      <c r="B8036" t="s">
        <v>98</v>
      </c>
      <c r="C8036">
        <v>9406582649</v>
      </c>
      <c r="D8036" s="2">
        <v>1</v>
      </c>
      <c r="E8036" t="str">
        <f>"4574674200912368"</f>
        <v>4574674200912368</v>
      </c>
      <c r="F8036" t="str">
        <f>"812"</f>
        <v>812</v>
      </c>
      <c r="G8036">
        <v>1</v>
      </c>
      <c r="H8036">
        <v>2023</v>
      </c>
      <c r="I8036" t="s">
        <v>8151</v>
      </c>
    </row>
    <row r="8037" spans="1:9" x14ac:dyDescent="0.3">
      <c r="A8037" t="s">
        <v>10122</v>
      </c>
      <c r="B8037" t="s">
        <v>99</v>
      </c>
      <c r="C8037">
        <v>9406582649</v>
      </c>
      <c r="D8037" s="2">
        <v>1</v>
      </c>
      <c r="E8037" t="str">
        <f>"4574674200912525"</f>
        <v>4574674200912525</v>
      </c>
      <c r="F8037" t="str">
        <f>"107"</f>
        <v>107</v>
      </c>
      <c r="G8037">
        <v>1</v>
      </c>
      <c r="H8037">
        <v>2023</v>
      </c>
      <c r="I8037" t="s">
        <v>8152</v>
      </c>
    </row>
    <row r="8038" spans="1:9" x14ac:dyDescent="0.3">
      <c r="A8038" t="s">
        <v>10122</v>
      </c>
      <c r="B8038" t="s">
        <v>99</v>
      </c>
      <c r="C8038">
        <v>9406582649</v>
      </c>
      <c r="D8038" s="2">
        <v>1</v>
      </c>
      <c r="E8038" t="str">
        <f>"4574674200912640"</f>
        <v>4574674200912640</v>
      </c>
      <c r="F8038" t="str">
        <f>"087"</f>
        <v>087</v>
      </c>
      <c r="G8038">
        <v>1</v>
      </c>
      <c r="H8038">
        <v>2023</v>
      </c>
      <c r="I8038" t="s">
        <v>8153</v>
      </c>
    </row>
    <row r="8039" spans="1:9" x14ac:dyDescent="0.3">
      <c r="A8039" t="s">
        <v>10122</v>
      </c>
      <c r="B8039" t="s">
        <v>99</v>
      </c>
      <c r="C8039">
        <v>9406582649</v>
      </c>
      <c r="D8039" s="2">
        <v>1</v>
      </c>
      <c r="E8039" t="str">
        <f>"4574674200912707"</f>
        <v>4574674200912707</v>
      </c>
      <c r="F8039" t="str">
        <f>"112"</f>
        <v>112</v>
      </c>
      <c r="G8039">
        <v>1</v>
      </c>
      <c r="H8039">
        <v>2023</v>
      </c>
      <c r="I8039" t="s">
        <v>8154</v>
      </c>
    </row>
    <row r="8040" spans="1:9" x14ac:dyDescent="0.3">
      <c r="A8040" t="s">
        <v>10122</v>
      </c>
      <c r="B8040" t="s">
        <v>99</v>
      </c>
      <c r="C8040">
        <v>9406582649</v>
      </c>
      <c r="D8040" s="2">
        <v>1</v>
      </c>
      <c r="E8040" t="str">
        <f>"4574674200912699"</f>
        <v>4574674200912699</v>
      </c>
      <c r="F8040" t="str">
        <f>"508"</f>
        <v>508</v>
      </c>
      <c r="G8040">
        <v>1</v>
      </c>
      <c r="H8040">
        <v>2023</v>
      </c>
      <c r="I8040" t="s">
        <v>8155</v>
      </c>
    </row>
    <row r="8041" spans="1:9" x14ac:dyDescent="0.3">
      <c r="A8041" t="s">
        <v>10122</v>
      </c>
      <c r="B8041" t="s">
        <v>99</v>
      </c>
      <c r="C8041">
        <v>9406582649</v>
      </c>
      <c r="D8041" s="2">
        <v>1</v>
      </c>
      <c r="E8041" t="str">
        <f>"4574674200912764"</f>
        <v>4574674200912764</v>
      </c>
      <c r="F8041" t="str">
        <f>"758"</f>
        <v>758</v>
      </c>
      <c r="G8041">
        <v>1</v>
      </c>
      <c r="H8041">
        <v>2023</v>
      </c>
      <c r="I8041" t="s">
        <v>8156</v>
      </c>
    </row>
    <row r="8042" spans="1:9" x14ac:dyDescent="0.3">
      <c r="A8042" t="s">
        <v>10122</v>
      </c>
      <c r="B8042" t="s">
        <v>99</v>
      </c>
      <c r="C8042">
        <v>9406582649</v>
      </c>
      <c r="D8042" s="2">
        <v>1</v>
      </c>
      <c r="E8042" t="str">
        <f>"4574674200912590"</f>
        <v>4574674200912590</v>
      </c>
      <c r="F8042" t="str">
        <f>"232"</f>
        <v>232</v>
      </c>
      <c r="G8042">
        <v>1</v>
      </c>
      <c r="H8042">
        <v>2023</v>
      </c>
      <c r="I8042" t="s">
        <v>8157</v>
      </c>
    </row>
    <row r="8043" spans="1:9" x14ac:dyDescent="0.3">
      <c r="A8043" t="s">
        <v>10122</v>
      </c>
      <c r="B8043" t="s">
        <v>99</v>
      </c>
      <c r="C8043">
        <v>9406582649</v>
      </c>
      <c r="D8043" s="2">
        <v>1</v>
      </c>
      <c r="E8043" t="str">
        <f>"4574674200912798"</f>
        <v>4574674200912798</v>
      </c>
      <c r="F8043" t="str">
        <f>"833"</f>
        <v>833</v>
      </c>
      <c r="G8043">
        <v>1</v>
      </c>
      <c r="H8043">
        <v>2023</v>
      </c>
      <c r="I8043" t="s">
        <v>8158</v>
      </c>
    </row>
    <row r="8044" spans="1:9" x14ac:dyDescent="0.3">
      <c r="A8044" t="s">
        <v>10122</v>
      </c>
      <c r="B8044" t="s">
        <v>99</v>
      </c>
      <c r="C8044">
        <v>9406582649</v>
      </c>
      <c r="D8044" s="2">
        <v>1</v>
      </c>
      <c r="E8044" t="str">
        <f>"4574674200912780"</f>
        <v>4574674200912780</v>
      </c>
      <c r="F8044" t="str">
        <f>"312"</f>
        <v>312</v>
      </c>
      <c r="G8044">
        <v>1</v>
      </c>
      <c r="H8044">
        <v>2023</v>
      </c>
      <c r="I8044" t="s">
        <v>8159</v>
      </c>
    </row>
    <row r="8045" spans="1:9" x14ac:dyDescent="0.3">
      <c r="A8045" t="s">
        <v>10122</v>
      </c>
      <c r="B8045" t="s">
        <v>99</v>
      </c>
      <c r="C8045">
        <v>9406582649</v>
      </c>
      <c r="D8045" s="2">
        <v>1</v>
      </c>
      <c r="E8045" t="str">
        <f>"4574674200913069"</f>
        <v>4574674200913069</v>
      </c>
      <c r="F8045" t="str">
        <f>"461"</f>
        <v>461</v>
      </c>
      <c r="G8045">
        <v>1</v>
      </c>
      <c r="H8045">
        <v>2023</v>
      </c>
      <c r="I8045" t="s">
        <v>8160</v>
      </c>
    </row>
    <row r="8046" spans="1:9" x14ac:dyDescent="0.3">
      <c r="A8046" t="s">
        <v>10122</v>
      </c>
      <c r="B8046" t="s">
        <v>99</v>
      </c>
      <c r="C8046">
        <v>9406582649</v>
      </c>
      <c r="D8046" s="2">
        <v>1</v>
      </c>
      <c r="E8046" t="str">
        <f>"4574674200913077"</f>
        <v>4574674200913077</v>
      </c>
      <c r="F8046" t="str">
        <f>"280"</f>
        <v>280</v>
      </c>
      <c r="G8046">
        <v>1</v>
      </c>
      <c r="H8046">
        <v>2023</v>
      </c>
      <c r="I8046" t="s">
        <v>8161</v>
      </c>
    </row>
    <row r="8047" spans="1:9" x14ac:dyDescent="0.3">
      <c r="A8047" t="s">
        <v>10123</v>
      </c>
      <c r="B8047" t="s">
        <v>100</v>
      </c>
      <c r="C8047">
        <v>9406582649</v>
      </c>
      <c r="D8047" s="2">
        <v>1</v>
      </c>
      <c r="E8047" t="str">
        <f>"4574674200912848"</f>
        <v>4574674200912848</v>
      </c>
      <c r="F8047" t="str">
        <f>"008"</f>
        <v>008</v>
      </c>
      <c r="G8047">
        <v>1</v>
      </c>
      <c r="H8047">
        <v>2023</v>
      </c>
      <c r="I8047" t="s">
        <v>8162</v>
      </c>
    </row>
    <row r="8048" spans="1:9" x14ac:dyDescent="0.3">
      <c r="A8048" t="s">
        <v>10123</v>
      </c>
      <c r="B8048" t="s">
        <v>100</v>
      </c>
      <c r="C8048">
        <v>9406582649</v>
      </c>
      <c r="D8048" s="2">
        <v>1</v>
      </c>
      <c r="E8048" t="str">
        <f>"4574674200913135"</f>
        <v>4574674200913135</v>
      </c>
      <c r="F8048" t="str">
        <f>"659"</f>
        <v>659</v>
      </c>
      <c r="G8048">
        <v>1</v>
      </c>
      <c r="H8048">
        <v>2023</v>
      </c>
      <c r="I8048" t="s">
        <v>8163</v>
      </c>
    </row>
    <row r="8049" spans="1:9" x14ac:dyDescent="0.3">
      <c r="A8049" t="s">
        <v>10123</v>
      </c>
      <c r="B8049" t="s">
        <v>100</v>
      </c>
      <c r="C8049">
        <v>9406582649</v>
      </c>
      <c r="D8049" s="2">
        <v>1</v>
      </c>
      <c r="E8049" t="str">
        <f>"4574674200913192"</f>
        <v>4574674200913192</v>
      </c>
      <c r="F8049" t="str">
        <f>"986"</f>
        <v>986</v>
      </c>
      <c r="G8049">
        <v>1</v>
      </c>
      <c r="H8049">
        <v>2023</v>
      </c>
      <c r="I8049" t="s">
        <v>8164</v>
      </c>
    </row>
    <row r="8050" spans="1:9" x14ac:dyDescent="0.3">
      <c r="A8050" t="s">
        <v>10123</v>
      </c>
      <c r="B8050" t="s">
        <v>100</v>
      </c>
      <c r="C8050">
        <v>9406582649</v>
      </c>
      <c r="D8050" s="2">
        <v>1</v>
      </c>
      <c r="E8050" t="str">
        <f>"4574674200913218"</f>
        <v>4574674200913218</v>
      </c>
      <c r="F8050" t="str">
        <f>"443"</f>
        <v>443</v>
      </c>
      <c r="G8050">
        <v>1</v>
      </c>
      <c r="H8050">
        <v>2023</v>
      </c>
      <c r="I8050" t="s">
        <v>8165</v>
      </c>
    </row>
    <row r="8051" spans="1:9" x14ac:dyDescent="0.3">
      <c r="A8051" t="s">
        <v>10123</v>
      </c>
      <c r="B8051" t="s">
        <v>100</v>
      </c>
      <c r="C8051">
        <v>9406582649</v>
      </c>
      <c r="D8051" s="2">
        <v>1</v>
      </c>
      <c r="E8051" t="str">
        <f>"4574674200913226"</f>
        <v>4574674200913226</v>
      </c>
      <c r="F8051" t="str">
        <f>"358"</f>
        <v>358</v>
      </c>
      <c r="G8051">
        <v>1</v>
      </c>
      <c r="H8051">
        <v>2023</v>
      </c>
      <c r="I8051" t="s">
        <v>8166</v>
      </c>
    </row>
    <row r="8052" spans="1:9" x14ac:dyDescent="0.3">
      <c r="A8052" t="s">
        <v>10123</v>
      </c>
      <c r="B8052" t="s">
        <v>100</v>
      </c>
      <c r="C8052">
        <v>9406582649</v>
      </c>
      <c r="D8052" s="2">
        <v>1</v>
      </c>
      <c r="E8052" t="str">
        <f>"4574674200913259"</f>
        <v>4574674200913259</v>
      </c>
      <c r="F8052" t="str">
        <f>"796"</f>
        <v>796</v>
      </c>
      <c r="G8052">
        <v>1</v>
      </c>
      <c r="H8052">
        <v>2023</v>
      </c>
      <c r="I8052" t="s">
        <v>8167</v>
      </c>
    </row>
    <row r="8053" spans="1:9" x14ac:dyDescent="0.3">
      <c r="A8053" t="s">
        <v>10123</v>
      </c>
      <c r="B8053" t="s">
        <v>100</v>
      </c>
      <c r="C8053">
        <v>9406582649</v>
      </c>
      <c r="D8053" s="2">
        <v>1</v>
      </c>
      <c r="E8053" t="str">
        <f>"4574674200912954"</f>
        <v>4574674200912954</v>
      </c>
      <c r="F8053" t="str">
        <f>"447"</f>
        <v>447</v>
      </c>
      <c r="G8053">
        <v>1</v>
      </c>
      <c r="H8053">
        <v>2023</v>
      </c>
      <c r="I8053" t="s">
        <v>8168</v>
      </c>
    </row>
    <row r="8054" spans="1:9" x14ac:dyDescent="0.3">
      <c r="A8054" t="s">
        <v>10123</v>
      </c>
      <c r="B8054" t="s">
        <v>100</v>
      </c>
      <c r="C8054">
        <v>9406582649</v>
      </c>
      <c r="D8054" s="2">
        <v>1</v>
      </c>
      <c r="E8054" t="str">
        <f>"4574674200912970"</f>
        <v>4574674200912970</v>
      </c>
      <c r="F8054" t="str">
        <f>"144"</f>
        <v>144</v>
      </c>
      <c r="G8054">
        <v>1</v>
      </c>
      <c r="H8054">
        <v>2023</v>
      </c>
      <c r="I8054" t="s">
        <v>8169</v>
      </c>
    </row>
    <row r="8055" spans="1:9" x14ac:dyDescent="0.3">
      <c r="A8055" t="s">
        <v>10123</v>
      </c>
      <c r="B8055" t="s">
        <v>100</v>
      </c>
      <c r="C8055">
        <v>9406582649</v>
      </c>
      <c r="D8055" s="2">
        <v>1</v>
      </c>
      <c r="E8055" t="str">
        <f>"4574674200913283"</f>
        <v>4574674200913283</v>
      </c>
      <c r="F8055" t="str">
        <f>"714"</f>
        <v>714</v>
      </c>
      <c r="G8055">
        <v>1</v>
      </c>
      <c r="H8055">
        <v>2023</v>
      </c>
      <c r="I8055" t="s">
        <v>8170</v>
      </c>
    </row>
    <row r="8056" spans="1:9" x14ac:dyDescent="0.3">
      <c r="A8056" t="s">
        <v>10123</v>
      </c>
      <c r="B8056" t="s">
        <v>100</v>
      </c>
      <c r="C8056">
        <v>9406582649</v>
      </c>
      <c r="D8056" s="2">
        <v>1</v>
      </c>
      <c r="E8056" t="str">
        <f>"4574674200913341"</f>
        <v>4574674200913341</v>
      </c>
      <c r="F8056" t="str">
        <f>"882"</f>
        <v>882</v>
      </c>
      <c r="G8056">
        <v>1</v>
      </c>
      <c r="H8056">
        <v>2023</v>
      </c>
      <c r="I8056" t="s">
        <v>8171</v>
      </c>
    </row>
    <row r="8057" spans="1:9" x14ac:dyDescent="0.3">
      <c r="A8057" t="s">
        <v>10124</v>
      </c>
      <c r="B8057" t="s">
        <v>101</v>
      </c>
      <c r="C8057">
        <v>9406582649</v>
      </c>
      <c r="D8057" s="2">
        <v>1</v>
      </c>
      <c r="E8057" t="str">
        <f>"4574674200913374"</f>
        <v>4574674200913374</v>
      </c>
      <c r="F8057" t="str">
        <f>"688"</f>
        <v>688</v>
      </c>
      <c r="G8057">
        <v>1</v>
      </c>
      <c r="H8057">
        <v>2023</v>
      </c>
      <c r="I8057" t="s">
        <v>8172</v>
      </c>
    </row>
    <row r="8058" spans="1:9" x14ac:dyDescent="0.3">
      <c r="A8058" t="s">
        <v>10124</v>
      </c>
      <c r="B8058" t="s">
        <v>101</v>
      </c>
      <c r="C8058">
        <v>9406582649</v>
      </c>
      <c r="D8058" s="2">
        <v>1</v>
      </c>
      <c r="E8058" t="str">
        <f>"4574674200913382"</f>
        <v>4574674200913382</v>
      </c>
      <c r="F8058" t="str">
        <f>"117"</f>
        <v>117</v>
      </c>
      <c r="G8058">
        <v>1</v>
      </c>
      <c r="H8058">
        <v>2023</v>
      </c>
      <c r="I8058" t="s">
        <v>8173</v>
      </c>
    </row>
    <row r="8059" spans="1:9" x14ac:dyDescent="0.3">
      <c r="A8059" t="s">
        <v>10124</v>
      </c>
      <c r="B8059" t="s">
        <v>101</v>
      </c>
      <c r="C8059">
        <v>9406582649</v>
      </c>
      <c r="D8059" s="2">
        <v>1</v>
      </c>
      <c r="E8059" t="str">
        <f>"4574674200913630"</f>
        <v>4574674200913630</v>
      </c>
      <c r="F8059" t="str">
        <f>"748"</f>
        <v>748</v>
      </c>
      <c r="G8059">
        <v>1</v>
      </c>
      <c r="H8059">
        <v>2023</v>
      </c>
      <c r="I8059" t="s">
        <v>8174</v>
      </c>
    </row>
    <row r="8060" spans="1:9" x14ac:dyDescent="0.3">
      <c r="A8060" t="s">
        <v>10124</v>
      </c>
      <c r="B8060" t="s">
        <v>101</v>
      </c>
      <c r="C8060">
        <v>9406582649</v>
      </c>
      <c r="D8060" s="2">
        <v>1</v>
      </c>
      <c r="E8060" t="str">
        <f>"4574674200913671"</f>
        <v>4574674200913671</v>
      </c>
      <c r="F8060" t="str">
        <f>"873"</f>
        <v>873</v>
      </c>
      <c r="G8060">
        <v>1</v>
      </c>
      <c r="H8060">
        <v>2023</v>
      </c>
      <c r="I8060" t="s">
        <v>8175</v>
      </c>
    </row>
    <row r="8061" spans="1:9" x14ac:dyDescent="0.3">
      <c r="A8061" t="s">
        <v>10124</v>
      </c>
      <c r="B8061" t="s">
        <v>101</v>
      </c>
      <c r="C8061">
        <v>9406582649</v>
      </c>
      <c r="D8061" s="2">
        <v>1</v>
      </c>
      <c r="E8061" t="str">
        <f>"4574674200913465"</f>
        <v>4574674200913465</v>
      </c>
      <c r="F8061" t="str">
        <f>"496"</f>
        <v>496</v>
      </c>
      <c r="G8061">
        <v>1</v>
      </c>
      <c r="H8061">
        <v>2023</v>
      </c>
      <c r="I8061" t="s">
        <v>8176</v>
      </c>
    </row>
    <row r="8062" spans="1:9" x14ac:dyDescent="0.3">
      <c r="A8062" t="s">
        <v>10124</v>
      </c>
      <c r="B8062" t="s">
        <v>101</v>
      </c>
      <c r="C8062">
        <v>9406582649</v>
      </c>
      <c r="D8062" s="2">
        <v>1</v>
      </c>
      <c r="E8062" t="str">
        <f>"4574674200913457"</f>
        <v>4574674200913457</v>
      </c>
      <c r="F8062" t="str">
        <f>"781"</f>
        <v>781</v>
      </c>
      <c r="G8062">
        <v>1</v>
      </c>
      <c r="H8062">
        <v>2023</v>
      </c>
      <c r="I8062" t="s">
        <v>8177</v>
      </c>
    </row>
    <row r="8063" spans="1:9" x14ac:dyDescent="0.3">
      <c r="A8063" t="s">
        <v>10124</v>
      </c>
      <c r="B8063" t="s">
        <v>101</v>
      </c>
      <c r="C8063">
        <v>9406582649</v>
      </c>
      <c r="D8063" s="2">
        <v>1</v>
      </c>
      <c r="E8063" t="str">
        <f>"4574674200913705"</f>
        <v>4574674200913705</v>
      </c>
      <c r="F8063" t="str">
        <f>"175"</f>
        <v>175</v>
      </c>
      <c r="G8063">
        <v>1</v>
      </c>
      <c r="H8063">
        <v>2023</v>
      </c>
      <c r="I8063" t="s">
        <v>8178</v>
      </c>
    </row>
    <row r="8064" spans="1:9" x14ac:dyDescent="0.3">
      <c r="A8064" t="s">
        <v>10124</v>
      </c>
      <c r="B8064" t="s">
        <v>101</v>
      </c>
      <c r="C8064">
        <v>9406582649</v>
      </c>
      <c r="D8064" s="2">
        <v>1</v>
      </c>
      <c r="E8064" t="str">
        <f>"4574674200913747"</f>
        <v>4574674200913747</v>
      </c>
      <c r="F8064" t="str">
        <f>"067"</f>
        <v>067</v>
      </c>
      <c r="G8064">
        <v>1</v>
      </c>
      <c r="H8064">
        <v>2023</v>
      </c>
      <c r="I8064" t="s">
        <v>8179</v>
      </c>
    </row>
    <row r="8065" spans="1:9" x14ac:dyDescent="0.3">
      <c r="A8065" t="s">
        <v>10124</v>
      </c>
      <c r="B8065" t="s">
        <v>101</v>
      </c>
      <c r="C8065">
        <v>9406582649</v>
      </c>
      <c r="D8065" s="2">
        <v>1</v>
      </c>
      <c r="E8065" t="str">
        <f>"4574674200913739"</f>
        <v>4574674200913739</v>
      </c>
      <c r="F8065" t="str">
        <f>"695"</f>
        <v>695</v>
      </c>
      <c r="G8065">
        <v>1</v>
      </c>
      <c r="H8065">
        <v>2023</v>
      </c>
      <c r="I8065" t="s">
        <v>8180</v>
      </c>
    </row>
    <row r="8066" spans="1:9" x14ac:dyDescent="0.3">
      <c r="A8066" t="s">
        <v>10124</v>
      </c>
      <c r="B8066" t="s">
        <v>101</v>
      </c>
      <c r="C8066">
        <v>9406582649</v>
      </c>
      <c r="D8066" s="2">
        <v>1</v>
      </c>
      <c r="E8066" t="str">
        <f>"4574674200913796"</f>
        <v>4574674200913796</v>
      </c>
      <c r="F8066" t="str">
        <f>"806"</f>
        <v>806</v>
      </c>
      <c r="G8066">
        <v>1</v>
      </c>
      <c r="H8066">
        <v>2023</v>
      </c>
      <c r="I8066" t="s">
        <v>8181</v>
      </c>
    </row>
    <row r="8067" spans="1:9" x14ac:dyDescent="0.3">
      <c r="A8067" t="s">
        <v>10125</v>
      </c>
      <c r="B8067" t="s">
        <v>102</v>
      </c>
      <c r="C8067">
        <v>9406582649</v>
      </c>
      <c r="D8067" s="2">
        <v>1</v>
      </c>
      <c r="E8067" t="str">
        <f>"4574674200913838"</f>
        <v>4574674200913838</v>
      </c>
      <c r="F8067" t="str">
        <f>"349"</f>
        <v>349</v>
      </c>
      <c r="G8067">
        <v>1</v>
      </c>
      <c r="H8067">
        <v>2023</v>
      </c>
      <c r="I8067" t="s">
        <v>8182</v>
      </c>
    </row>
    <row r="8068" spans="1:9" x14ac:dyDescent="0.3">
      <c r="A8068" t="s">
        <v>10125</v>
      </c>
      <c r="B8068" t="s">
        <v>102</v>
      </c>
      <c r="C8068">
        <v>9406582649</v>
      </c>
      <c r="D8068" s="2">
        <v>1</v>
      </c>
      <c r="E8068" t="str">
        <f>"4574674200913853"</f>
        <v>4574674200913853</v>
      </c>
      <c r="F8068" t="str">
        <f>"797"</f>
        <v>797</v>
      </c>
      <c r="G8068">
        <v>1</v>
      </c>
      <c r="H8068">
        <v>2023</v>
      </c>
      <c r="I8068" t="s">
        <v>8183</v>
      </c>
    </row>
    <row r="8069" spans="1:9" x14ac:dyDescent="0.3">
      <c r="A8069" t="s">
        <v>10125</v>
      </c>
      <c r="B8069" t="s">
        <v>102</v>
      </c>
      <c r="C8069">
        <v>9406582649</v>
      </c>
      <c r="D8069" s="2">
        <v>1</v>
      </c>
      <c r="E8069" t="str">
        <f>"4574674200913887"</f>
        <v>4574674200913887</v>
      </c>
      <c r="F8069" t="str">
        <f>"380"</f>
        <v>380</v>
      </c>
      <c r="G8069">
        <v>1</v>
      </c>
      <c r="H8069">
        <v>2023</v>
      </c>
      <c r="I8069" t="s">
        <v>8184</v>
      </c>
    </row>
    <row r="8070" spans="1:9" x14ac:dyDescent="0.3">
      <c r="A8070" t="s">
        <v>10125</v>
      </c>
      <c r="B8070" t="s">
        <v>102</v>
      </c>
      <c r="C8070">
        <v>9406582649</v>
      </c>
      <c r="D8070" s="2">
        <v>1</v>
      </c>
      <c r="E8070" t="str">
        <f>"4574674200914000"</f>
        <v>4574674200914000</v>
      </c>
      <c r="F8070" t="str">
        <f>"256"</f>
        <v>256</v>
      </c>
      <c r="G8070">
        <v>1</v>
      </c>
      <c r="H8070">
        <v>2023</v>
      </c>
      <c r="I8070" t="s">
        <v>8185</v>
      </c>
    </row>
    <row r="8071" spans="1:9" x14ac:dyDescent="0.3">
      <c r="A8071" t="s">
        <v>10125</v>
      </c>
      <c r="B8071" t="s">
        <v>102</v>
      </c>
      <c r="C8071">
        <v>9406582649</v>
      </c>
      <c r="D8071" s="2">
        <v>1</v>
      </c>
      <c r="E8071" t="str">
        <f>"4574674200913598"</f>
        <v>4574674200913598</v>
      </c>
      <c r="F8071" t="str">
        <f>"007"</f>
        <v>007</v>
      </c>
      <c r="G8071">
        <v>1</v>
      </c>
      <c r="H8071">
        <v>2023</v>
      </c>
      <c r="I8071" t="s">
        <v>8186</v>
      </c>
    </row>
    <row r="8072" spans="1:9" x14ac:dyDescent="0.3">
      <c r="A8072" t="s">
        <v>10125</v>
      </c>
      <c r="B8072" t="s">
        <v>102</v>
      </c>
      <c r="C8072">
        <v>9406582649</v>
      </c>
      <c r="D8072" s="2">
        <v>1</v>
      </c>
      <c r="E8072" t="str">
        <f>"4574674200913895"</f>
        <v>4574674200913895</v>
      </c>
      <c r="F8072" t="str">
        <f>"313"</f>
        <v>313</v>
      </c>
      <c r="G8072">
        <v>1</v>
      </c>
      <c r="H8072">
        <v>2023</v>
      </c>
      <c r="I8072" t="s">
        <v>8187</v>
      </c>
    </row>
    <row r="8073" spans="1:9" x14ac:dyDescent="0.3">
      <c r="A8073" t="s">
        <v>10125</v>
      </c>
      <c r="B8073" t="s">
        <v>102</v>
      </c>
      <c r="C8073">
        <v>9406582649</v>
      </c>
      <c r="D8073" s="2">
        <v>1</v>
      </c>
      <c r="E8073" t="str">
        <f>"4574674200913937"</f>
        <v>4574674200913937</v>
      </c>
      <c r="F8073" t="str">
        <f>"578"</f>
        <v>578</v>
      </c>
      <c r="G8073">
        <v>1</v>
      </c>
      <c r="H8073">
        <v>2023</v>
      </c>
      <c r="I8073" t="s">
        <v>8188</v>
      </c>
    </row>
    <row r="8074" spans="1:9" x14ac:dyDescent="0.3">
      <c r="A8074" t="s">
        <v>10125</v>
      </c>
      <c r="B8074" t="s">
        <v>102</v>
      </c>
      <c r="C8074">
        <v>9406582649</v>
      </c>
      <c r="D8074" s="2">
        <v>1</v>
      </c>
      <c r="E8074" t="str">
        <f>"4574674200913986"</f>
        <v>4574674200913986</v>
      </c>
      <c r="F8074" t="str">
        <f>"251"</f>
        <v>251</v>
      </c>
      <c r="G8074">
        <v>1</v>
      </c>
      <c r="H8074">
        <v>2023</v>
      </c>
      <c r="I8074" t="s">
        <v>8189</v>
      </c>
    </row>
    <row r="8075" spans="1:9" x14ac:dyDescent="0.3">
      <c r="A8075" t="s">
        <v>10125</v>
      </c>
      <c r="B8075" t="s">
        <v>102</v>
      </c>
      <c r="C8075">
        <v>9406582649</v>
      </c>
      <c r="D8075" s="2">
        <v>1</v>
      </c>
      <c r="E8075" t="str">
        <f>"4574674200914208"</f>
        <v>4574674200914208</v>
      </c>
      <c r="F8075" t="str">
        <f>"300"</f>
        <v>300</v>
      </c>
      <c r="G8075">
        <v>1</v>
      </c>
      <c r="H8075">
        <v>2023</v>
      </c>
      <c r="I8075" t="s">
        <v>8190</v>
      </c>
    </row>
    <row r="8076" spans="1:9" x14ac:dyDescent="0.3">
      <c r="A8076" t="s">
        <v>10125</v>
      </c>
      <c r="B8076" t="s">
        <v>102</v>
      </c>
      <c r="C8076">
        <v>9406582649</v>
      </c>
      <c r="D8076" s="2">
        <v>1</v>
      </c>
      <c r="E8076" t="str">
        <f>"4574674200914240"</f>
        <v>4574674200914240</v>
      </c>
      <c r="F8076" t="str">
        <f>"897"</f>
        <v>897</v>
      </c>
      <c r="G8076">
        <v>1</v>
      </c>
      <c r="H8076">
        <v>2023</v>
      </c>
      <c r="I8076" t="s">
        <v>8191</v>
      </c>
    </row>
    <row r="8077" spans="1:9" x14ac:dyDescent="0.3">
      <c r="A8077" t="s">
        <v>10126</v>
      </c>
      <c r="B8077" t="s">
        <v>103</v>
      </c>
      <c r="C8077">
        <v>9406582649</v>
      </c>
      <c r="D8077" s="2">
        <v>1</v>
      </c>
      <c r="E8077" t="str">
        <f>"4574674200914281"</f>
        <v>4574674200914281</v>
      </c>
      <c r="F8077" t="str">
        <f>"331"</f>
        <v>331</v>
      </c>
      <c r="G8077">
        <v>1</v>
      </c>
      <c r="H8077">
        <v>2023</v>
      </c>
      <c r="I8077" t="s">
        <v>8192</v>
      </c>
    </row>
    <row r="8078" spans="1:9" x14ac:dyDescent="0.3">
      <c r="A8078" t="s">
        <v>10126</v>
      </c>
      <c r="B8078" t="s">
        <v>103</v>
      </c>
      <c r="C8078">
        <v>9406582649</v>
      </c>
      <c r="D8078" s="2">
        <v>1</v>
      </c>
      <c r="E8078" t="str">
        <f>"4574674200914125"</f>
        <v>4574674200914125</v>
      </c>
      <c r="F8078" t="str">
        <f>"216"</f>
        <v>216</v>
      </c>
      <c r="G8078">
        <v>1</v>
      </c>
      <c r="H8078">
        <v>2023</v>
      </c>
      <c r="I8078" t="s">
        <v>8193</v>
      </c>
    </row>
    <row r="8079" spans="1:9" x14ac:dyDescent="0.3">
      <c r="A8079" t="s">
        <v>10126</v>
      </c>
      <c r="B8079" t="s">
        <v>103</v>
      </c>
      <c r="C8079">
        <v>9406582649</v>
      </c>
      <c r="D8079" s="2">
        <v>1</v>
      </c>
      <c r="E8079" t="str">
        <f>"4574674200914323"</f>
        <v>4574674200914323</v>
      </c>
      <c r="F8079" t="str">
        <f>"737"</f>
        <v>737</v>
      </c>
      <c r="G8079">
        <v>1</v>
      </c>
      <c r="H8079">
        <v>2023</v>
      </c>
      <c r="I8079" t="s">
        <v>8194</v>
      </c>
    </row>
    <row r="8080" spans="1:9" x14ac:dyDescent="0.3">
      <c r="A8080" t="s">
        <v>10126</v>
      </c>
      <c r="B8080" t="s">
        <v>103</v>
      </c>
      <c r="C8080">
        <v>9406582649</v>
      </c>
      <c r="D8080" s="2">
        <v>1</v>
      </c>
      <c r="E8080" t="str">
        <f>"4574674200914331"</f>
        <v>4574674200914331</v>
      </c>
      <c r="F8080" t="str">
        <f>"904"</f>
        <v>904</v>
      </c>
      <c r="G8080">
        <v>1</v>
      </c>
      <c r="H8080">
        <v>2023</v>
      </c>
      <c r="I8080" t="s">
        <v>8195</v>
      </c>
    </row>
    <row r="8081" spans="1:9" x14ac:dyDescent="0.3">
      <c r="A8081" t="s">
        <v>10126</v>
      </c>
      <c r="B8081" t="s">
        <v>103</v>
      </c>
      <c r="C8081">
        <v>9406582649</v>
      </c>
      <c r="D8081" s="2">
        <v>1</v>
      </c>
      <c r="E8081" t="str">
        <f>"4574674200914174"</f>
        <v>4574674200914174</v>
      </c>
      <c r="F8081" t="str">
        <f>"356"</f>
        <v>356</v>
      </c>
      <c r="G8081">
        <v>1</v>
      </c>
      <c r="H8081">
        <v>2023</v>
      </c>
      <c r="I8081" t="s">
        <v>8196</v>
      </c>
    </row>
    <row r="8082" spans="1:9" x14ac:dyDescent="0.3">
      <c r="A8082" t="s">
        <v>10126</v>
      </c>
      <c r="B8082" t="s">
        <v>103</v>
      </c>
      <c r="C8082">
        <v>9406582649</v>
      </c>
      <c r="D8082" s="2">
        <v>1</v>
      </c>
      <c r="E8082" t="str">
        <f>"4574674200914398"</f>
        <v>4574674200914398</v>
      </c>
      <c r="F8082" t="str">
        <f>"479"</f>
        <v>479</v>
      </c>
      <c r="G8082">
        <v>1</v>
      </c>
      <c r="H8082">
        <v>2023</v>
      </c>
      <c r="I8082" t="s">
        <v>8197</v>
      </c>
    </row>
    <row r="8083" spans="1:9" x14ac:dyDescent="0.3">
      <c r="A8083" t="s">
        <v>10126</v>
      </c>
      <c r="B8083" t="s">
        <v>103</v>
      </c>
      <c r="C8083">
        <v>9406582649</v>
      </c>
      <c r="D8083" s="2">
        <v>1</v>
      </c>
      <c r="E8083" t="str">
        <f>"4574674200914430"</f>
        <v>4574674200914430</v>
      </c>
      <c r="F8083" t="str">
        <f>"132"</f>
        <v>132</v>
      </c>
      <c r="G8083">
        <v>1</v>
      </c>
      <c r="H8083">
        <v>2023</v>
      </c>
      <c r="I8083" t="s">
        <v>8198</v>
      </c>
    </row>
    <row r="8084" spans="1:9" x14ac:dyDescent="0.3">
      <c r="A8084" t="s">
        <v>10126</v>
      </c>
      <c r="B8084" t="s">
        <v>103</v>
      </c>
      <c r="C8084">
        <v>9406582649</v>
      </c>
      <c r="D8084" s="2">
        <v>1</v>
      </c>
      <c r="E8084" t="str">
        <f>"4574674200914448"</f>
        <v>4574674200914448</v>
      </c>
      <c r="F8084" t="str">
        <f>"547"</f>
        <v>547</v>
      </c>
      <c r="G8084">
        <v>1</v>
      </c>
      <c r="H8084">
        <v>2023</v>
      </c>
      <c r="I8084" t="s">
        <v>8199</v>
      </c>
    </row>
    <row r="8085" spans="1:9" x14ac:dyDescent="0.3">
      <c r="A8085" t="s">
        <v>10126</v>
      </c>
      <c r="B8085" t="s">
        <v>103</v>
      </c>
      <c r="C8085">
        <v>9406582649</v>
      </c>
      <c r="D8085" s="2">
        <v>1</v>
      </c>
      <c r="E8085" t="str">
        <f>"4574674200914489"</f>
        <v>4574674200914489</v>
      </c>
      <c r="F8085" t="str">
        <f>"065"</f>
        <v>065</v>
      </c>
      <c r="G8085">
        <v>1</v>
      </c>
      <c r="H8085">
        <v>2023</v>
      </c>
      <c r="I8085" t="s">
        <v>8200</v>
      </c>
    </row>
    <row r="8086" spans="1:9" x14ac:dyDescent="0.3">
      <c r="A8086" t="s">
        <v>10126</v>
      </c>
      <c r="B8086" t="s">
        <v>103</v>
      </c>
      <c r="C8086">
        <v>9406582649</v>
      </c>
      <c r="D8086" s="2">
        <v>1</v>
      </c>
      <c r="E8086" t="str">
        <f>"4574674200914513"</f>
        <v>4574674200914513</v>
      </c>
      <c r="F8086" t="str">
        <f>"534"</f>
        <v>534</v>
      </c>
      <c r="G8086">
        <v>1</v>
      </c>
      <c r="H8086">
        <v>2023</v>
      </c>
      <c r="I8086" t="s">
        <v>8201</v>
      </c>
    </row>
    <row r="8087" spans="1:9" x14ac:dyDescent="0.3">
      <c r="A8087" t="s">
        <v>10127</v>
      </c>
      <c r="B8087" t="s">
        <v>104</v>
      </c>
      <c r="C8087">
        <v>9406582649</v>
      </c>
      <c r="D8087" s="2">
        <v>1</v>
      </c>
      <c r="E8087" t="str">
        <f>"4574674200914653"</f>
        <v>4574674200914653</v>
      </c>
      <c r="F8087" t="str">
        <f>"269"</f>
        <v>269</v>
      </c>
      <c r="G8087">
        <v>1</v>
      </c>
      <c r="H8087">
        <v>2023</v>
      </c>
      <c r="I8087" t="s">
        <v>8202</v>
      </c>
    </row>
    <row r="8088" spans="1:9" x14ac:dyDescent="0.3">
      <c r="A8088" t="s">
        <v>10127</v>
      </c>
      <c r="B8088" t="s">
        <v>104</v>
      </c>
      <c r="C8088">
        <v>9406582649</v>
      </c>
      <c r="D8088" s="2">
        <v>1</v>
      </c>
      <c r="E8088" t="str">
        <f>"4574674200914570"</f>
        <v>4574674200914570</v>
      </c>
      <c r="F8088" t="str">
        <f>"192"</f>
        <v>192</v>
      </c>
      <c r="G8088">
        <v>1</v>
      </c>
      <c r="H8088">
        <v>2023</v>
      </c>
      <c r="I8088" t="s">
        <v>8203</v>
      </c>
    </row>
    <row r="8089" spans="1:9" x14ac:dyDescent="0.3">
      <c r="A8089" t="s">
        <v>10127</v>
      </c>
      <c r="B8089" t="s">
        <v>104</v>
      </c>
      <c r="C8089">
        <v>9406582649</v>
      </c>
      <c r="D8089" s="2">
        <v>1</v>
      </c>
      <c r="E8089" t="str">
        <f>"4574674200914588"</f>
        <v>4574674200914588</v>
      </c>
      <c r="F8089" t="str">
        <f>"899"</f>
        <v>899</v>
      </c>
      <c r="G8089">
        <v>1</v>
      </c>
      <c r="H8089">
        <v>2023</v>
      </c>
      <c r="I8089" t="s">
        <v>8204</v>
      </c>
    </row>
    <row r="8090" spans="1:9" x14ac:dyDescent="0.3">
      <c r="A8090" t="s">
        <v>10127</v>
      </c>
      <c r="B8090" t="s">
        <v>104</v>
      </c>
      <c r="C8090">
        <v>9406582649</v>
      </c>
      <c r="D8090" s="2">
        <v>1</v>
      </c>
      <c r="E8090" t="str">
        <f>"4574674200914810"</f>
        <v>4574674200914810</v>
      </c>
      <c r="F8090" t="str">
        <f>"559"</f>
        <v>559</v>
      </c>
      <c r="G8090">
        <v>1</v>
      </c>
      <c r="H8090">
        <v>2023</v>
      </c>
      <c r="I8090" t="s">
        <v>8205</v>
      </c>
    </row>
    <row r="8091" spans="1:9" x14ac:dyDescent="0.3">
      <c r="A8091" t="s">
        <v>10127</v>
      </c>
      <c r="B8091" t="s">
        <v>104</v>
      </c>
      <c r="C8091">
        <v>9406582649</v>
      </c>
      <c r="D8091" s="2">
        <v>1</v>
      </c>
      <c r="E8091" t="str">
        <f>"4574674200914869"</f>
        <v>4574674200914869</v>
      </c>
      <c r="F8091" t="str">
        <f>"772"</f>
        <v>772</v>
      </c>
      <c r="G8091">
        <v>1</v>
      </c>
      <c r="H8091">
        <v>2023</v>
      </c>
      <c r="I8091" t="s">
        <v>8206</v>
      </c>
    </row>
    <row r="8092" spans="1:9" x14ac:dyDescent="0.3">
      <c r="A8092" t="s">
        <v>10127</v>
      </c>
      <c r="B8092" t="s">
        <v>104</v>
      </c>
      <c r="C8092">
        <v>9406582649</v>
      </c>
      <c r="D8092" s="2">
        <v>1</v>
      </c>
      <c r="E8092" t="str">
        <f>"4574674200914687"</f>
        <v>4574674200914687</v>
      </c>
      <c r="F8092" t="str">
        <f>"318"</f>
        <v>318</v>
      </c>
      <c r="G8092">
        <v>1</v>
      </c>
      <c r="H8092">
        <v>2023</v>
      </c>
      <c r="I8092" t="s">
        <v>8207</v>
      </c>
    </row>
    <row r="8093" spans="1:9" x14ac:dyDescent="0.3">
      <c r="A8093" t="s">
        <v>10127</v>
      </c>
      <c r="B8093" t="s">
        <v>104</v>
      </c>
      <c r="C8093">
        <v>9406582649</v>
      </c>
      <c r="D8093" s="2">
        <v>1</v>
      </c>
      <c r="E8093" t="str">
        <f>"4574674200914877"</f>
        <v>4574674200914877</v>
      </c>
      <c r="F8093" t="str">
        <f>"522"</f>
        <v>522</v>
      </c>
      <c r="G8093">
        <v>1</v>
      </c>
      <c r="H8093">
        <v>2023</v>
      </c>
      <c r="I8093" t="s">
        <v>8208</v>
      </c>
    </row>
    <row r="8094" spans="1:9" x14ac:dyDescent="0.3">
      <c r="A8094" t="s">
        <v>10127</v>
      </c>
      <c r="B8094" t="s">
        <v>104</v>
      </c>
      <c r="C8094">
        <v>9406582649</v>
      </c>
      <c r="D8094" s="2">
        <v>1</v>
      </c>
      <c r="E8094" t="str">
        <f>"4574674200914901"</f>
        <v>4574674200914901</v>
      </c>
      <c r="F8094" t="str">
        <f>"120"</f>
        <v>120</v>
      </c>
      <c r="G8094">
        <v>1</v>
      </c>
      <c r="H8094">
        <v>2023</v>
      </c>
      <c r="I8094" t="s">
        <v>8209</v>
      </c>
    </row>
    <row r="8095" spans="1:9" x14ac:dyDescent="0.3">
      <c r="A8095" t="s">
        <v>10127</v>
      </c>
      <c r="B8095" t="s">
        <v>104</v>
      </c>
      <c r="C8095">
        <v>9406582649</v>
      </c>
      <c r="D8095" s="2">
        <v>1</v>
      </c>
      <c r="E8095" t="str">
        <f>"4574674200914927"</f>
        <v>4574674200914927</v>
      </c>
      <c r="F8095" t="str">
        <f>"272"</f>
        <v>272</v>
      </c>
      <c r="G8095">
        <v>1</v>
      </c>
      <c r="H8095">
        <v>2023</v>
      </c>
      <c r="I8095" t="s">
        <v>8210</v>
      </c>
    </row>
    <row r="8096" spans="1:9" x14ac:dyDescent="0.3">
      <c r="A8096" t="s">
        <v>10127</v>
      </c>
      <c r="B8096" t="s">
        <v>104</v>
      </c>
      <c r="C8096">
        <v>9406582649</v>
      </c>
      <c r="D8096" s="2">
        <v>1</v>
      </c>
      <c r="E8096" t="str">
        <f>"4574674200914976"</f>
        <v>4574674200914976</v>
      </c>
      <c r="F8096" t="str">
        <f>"318"</f>
        <v>318</v>
      </c>
      <c r="G8096">
        <v>1</v>
      </c>
      <c r="H8096">
        <v>2023</v>
      </c>
      <c r="I8096" t="s">
        <v>8211</v>
      </c>
    </row>
    <row r="8097" spans="1:9" x14ac:dyDescent="0.3">
      <c r="A8097" t="s">
        <v>10128</v>
      </c>
      <c r="B8097" t="s">
        <v>105</v>
      </c>
      <c r="C8097">
        <v>9406582649</v>
      </c>
      <c r="D8097" s="2">
        <v>1</v>
      </c>
      <c r="E8097" t="str">
        <f>"4574674200914992"</f>
        <v>4574674200914992</v>
      </c>
      <c r="F8097" t="str">
        <f>"358"</f>
        <v>358</v>
      </c>
      <c r="G8097">
        <v>1</v>
      </c>
      <c r="H8097">
        <v>2023</v>
      </c>
      <c r="I8097" t="s">
        <v>8212</v>
      </c>
    </row>
    <row r="8098" spans="1:9" x14ac:dyDescent="0.3">
      <c r="A8098" t="s">
        <v>10128</v>
      </c>
      <c r="B8098" t="s">
        <v>105</v>
      </c>
      <c r="C8098">
        <v>9406582649</v>
      </c>
      <c r="D8098" s="2">
        <v>1</v>
      </c>
      <c r="E8098" t="str">
        <f>"4574674200915023"</f>
        <v>4574674200915023</v>
      </c>
      <c r="F8098" t="str">
        <f>"751"</f>
        <v>751</v>
      </c>
      <c r="G8098">
        <v>1</v>
      </c>
      <c r="H8098">
        <v>2023</v>
      </c>
      <c r="I8098" t="s">
        <v>8213</v>
      </c>
    </row>
    <row r="8099" spans="1:9" x14ac:dyDescent="0.3">
      <c r="A8099" t="s">
        <v>10128</v>
      </c>
      <c r="B8099" t="s">
        <v>105</v>
      </c>
      <c r="C8099">
        <v>9406582649</v>
      </c>
      <c r="D8099" s="2">
        <v>1</v>
      </c>
      <c r="E8099" t="str">
        <f>"4574674200914778"</f>
        <v>4574674200914778</v>
      </c>
      <c r="F8099" t="str">
        <f>"321"</f>
        <v>321</v>
      </c>
      <c r="G8099">
        <v>1</v>
      </c>
      <c r="H8099">
        <v>2023</v>
      </c>
      <c r="I8099" t="s">
        <v>8214</v>
      </c>
    </row>
    <row r="8100" spans="1:9" x14ac:dyDescent="0.3">
      <c r="A8100" t="s">
        <v>10128</v>
      </c>
      <c r="B8100" t="s">
        <v>105</v>
      </c>
      <c r="C8100">
        <v>9406582649</v>
      </c>
      <c r="D8100" s="2">
        <v>1</v>
      </c>
      <c r="E8100" t="str">
        <f>"4574674200915205"</f>
        <v>4574674200915205</v>
      </c>
      <c r="F8100" t="str">
        <f>"066"</f>
        <v>066</v>
      </c>
      <c r="G8100">
        <v>1</v>
      </c>
      <c r="H8100">
        <v>2023</v>
      </c>
      <c r="I8100" t="s">
        <v>8215</v>
      </c>
    </row>
    <row r="8101" spans="1:9" x14ac:dyDescent="0.3">
      <c r="A8101" t="s">
        <v>10128</v>
      </c>
      <c r="B8101" t="s">
        <v>105</v>
      </c>
      <c r="C8101">
        <v>9406582649</v>
      </c>
      <c r="D8101" s="2">
        <v>1</v>
      </c>
      <c r="E8101" t="str">
        <f>"4574674200915056"</f>
        <v>4574674200915056</v>
      </c>
      <c r="F8101" t="str">
        <f>"955"</f>
        <v>955</v>
      </c>
      <c r="G8101">
        <v>1</v>
      </c>
      <c r="H8101">
        <v>2023</v>
      </c>
      <c r="I8101" t="s">
        <v>8216</v>
      </c>
    </row>
    <row r="8102" spans="1:9" x14ac:dyDescent="0.3">
      <c r="A8102" t="s">
        <v>10128</v>
      </c>
      <c r="B8102" t="s">
        <v>105</v>
      </c>
      <c r="C8102">
        <v>9406582649</v>
      </c>
      <c r="D8102" s="2">
        <v>1</v>
      </c>
      <c r="E8102" t="str">
        <f>"4574674200915106"</f>
        <v>4574674200915106</v>
      </c>
      <c r="F8102" t="str">
        <f>"236"</f>
        <v>236</v>
      </c>
      <c r="G8102">
        <v>1</v>
      </c>
      <c r="H8102">
        <v>2023</v>
      </c>
      <c r="I8102" t="s">
        <v>8217</v>
      </c>
    </row>
    <row r="8103" spans="1:9" x14ac:dyDescent="0.3">
      <c r="A8103" t="s">
        <v>10128</v>
      </c>
      <c r="B8103" t="s">
        <v>105</v>
      </c>
      <c r="C8103">
        <v>9406582649</v>
      </c>
      <c r="D8103" s="2">
        <v>1</v>
      </c>
      <c r="E8103" t="str">
        <f>"4574674200915114"</f>
        <v>4574674200915114</v>
      </c>
      <c r="F8103" t="str">
        <f>"722"</f>
        <v>722</v>
      </c>
      <c r="G8103">
        <v>1</v>
      </c>
      <c r="H8103">
        <v>2023</v>
      </c>
      <c r="I8103" t="s">
        <v>8218</v>
      </c>
    </row>
    <row r="8104" spans="1:9" x14ac:dyDescent="0.3">
      <c r="A8104" t="s">
        <v>10128</v>
      </c>
      <c r="B8104" t="s">
        <v>105</v>
      </c>
      <c r="C8104">
        <v>9406582649</v>
      </c>
      <c r="D8104" s="2">
        <v>1</v>
      </c>
      <c r="E8104" t="str">
        <f>"4574674200915148"</f>
        <v>4574674200915148</v>
      </c>
      <c r="F8104" t="str">
        <f>"309"</f>
        <v>309</v>
      </c>
      <c r="G8104">
        <v>1</v>
      </c>
      <c r="H8104">
        <v>2023</v>
      </c>
      <c r="I8104" t="s">
        <v>8219</v>
      </c>
    </row>
    <row r="8105" spans="1:9" x14ac:dyDescent="0.3">
      <c r="A8105" t="s">
        <v>10128</v>
      </c>
      <c r="B8105" t="s">
        <v>105</v>
      </c>
      <c r="C8105">
        <v>9406582649</v>
      </c>
      <c r="D8105" s="2">
        <v>1</v>
      </c>
      <c r="E8105" t="str">
        <f>"4574674200915171"</f>
        <v>4574674200915171</v>
      </c>
      <c r="F8105" t="str">
        <f>"468"</f>
        <v>468</v>
      </c>
      <c r="G8105">
        <v>1</v>
      </c>
      <c r="H8105">
        <v>2023</v>
      </c>
      <c r="I8105" t="s">
        <v>8220</v>
      </c>
    </row>
    <row r="8106" spans="1:9" x14ac:dyDescent="0.3">
      <c r="A8106" t="s">
        <v>10128</v>
      </c>
      <c r="B8106" t="s">
        <v>105</v>
      </c>
      <c r="C8106">
        <v>9406582649</v>
      </c>
      <c r="D8106" s="2">
        <v>1</v>
      </c>
      <c r="E8106" t="str">
        <f>"4574674200915429"</f>
        <v>4574674200915429</v>
      </c>
      <c r="F8106" t="str">
        <f>"380"</f>
        <v>380</v>
      </c>
      <c r="G8106">
        <v>1</v>
      </c>
      <c r="H8106">
        <v>2023</v>
      </c>
      <c r="I8106" t="s">
        <v>8221</v>
      </c>
    </row>
    <row r="8107" spans="1:9" x14ac:dyDescent="0.3">
      <c r="A8107" t="s">
        <v>10129</v>
      </c>
      <c r="B8107" t="s">
        <v>106</v>
      </c>
      <c r="C8107">
        <v>9406582649</v>
      </c>
      <c r="D8107" s="2">
        <v>1</v>
      </c>
      <c r="E8107" t="str">
        <f>"4574674200915460"</f>
        <v>4574674200915460</v>
      </c>
      <c r="F8107" t="str">
        <f>"474"</f>
        <v>474</v>
      </c>
      <c r="G8107">
        <v>1</v>
      </c>
      <c r="H8107">
        <v>2023</v>
      </c>
      <c r="I8107" t="s">
        <v>8222</v>
      </c>
    </row>
    <row r="8108" spans="1:9" x14ac:dyDescent="0.3">
      <c r="A8108" t="s">
        <v>10129</v>
      </c>
      <c r="B8108" t="s">
        <v>106</v>
      </c>
      <c r="C8108">
        <v>9406582649</v>
      </c>
      <c r="D8108" s="2">
        <v>1</v>
      </c>
      <c r="E8108" t="str">
        <f>"4574674200915486"</f>
        <v>4574674200915486</v>
      </c>
      <c r="F8108" t="str">
        <f>"986"</f>
        <v>986</v>
      </c>
      <c r="G8108">
        <v>1</v>
      </c>
      <c r="H8108">
        <v>2023</v>
      </c>
      <c r="I8108" t="s">
        <v>8223</v>
      </c>
    </row>
    <row r="8109" spans="1:9" x14ac:dyDescent="0.3">
      <c r="A8109" t="s">
        <v>10129</v>
      </c>
      <c r="B8109" t="s">
        <v>106</v>
      </c>
      <c r="C8109">
        <v>9406582649</v>
      </c>
      <c r="D8109" s="2">
        <v>1</v>
      </c>
      <c r="E8109" t="str">
        <f>"4574674200915502"</f>
        <v>4574674200915502</v>
      </c>
      <c r="F8109" t="str">
        <f>"384"</f>
        <v>384</v>
      </c>
      <c r="G8109">
        <v>1</v>
      </c>
      <c r="H8109">
        <v>2023</v>
      </c>
      <c r="I8109" t="s">
        <v>8224</v>
      </c>
    </row>
    <row r="8110" spans="1:9" x14ac:dyDescent="0.3">
      <c r="A8110" t="s">
        <v>10129</v>
      </c>
      <c r="B8110" t="s">
        <v>106</v>
      </c>
      <c r="C8110">
        <v>9406582649</v>
      </c>
      <c r="D8110" s="2">
        <v>1</v>
      </c>
      <c r="E8110" t="str">
        <f>"4574674200915544"</f>
        <v>4574674200915544</v>
      </c>
      <c r="F8110" t="str">
        <f>"491"</f>
        <v>491</v>
      </c>
      <c r="G8110">
        <v>1</v>
      </c>
      <c r="H8110">
        <v>2023</v>
      </c>
      <c r="I8110" t="s">
        <v>8225</v>
      </c>
    </row>
    <row r="8111" spans="1:9" x14ac:dyDescent="0.3">
      <c r="A8111" t="s">
        <v>10129</v>
      </c>
      <c r="B8111" t="s">
        <v>106</v>
      </c>
      <c r="C8111">
        <v>9406582649</v>
      </c>
      <c r="D8111" s="2">
        <v>1</v>
      </c>
      <c r="E8111" t="str">
        <f>"4574674200915320"</f>
        <v>4574674200915320</v>
      </c>
      <c r="F8111" t="str">
        <f>"964"</f>
        <v>964</v>
      </c>
      <c r="G8111">
        <v>1</v>
      </c>
      <c r="H8111">
        <v>2023</v>
      </c>
      <c r="I8111" t="s">
        <v>8226</v>
      </c>
    </row>
    <row r="8112" spans="1:9" x14ac:dyDescent="0.3">
      <c r="A8112" t="s">
        <v>10129</v>
      </c>
      <c r="B8112" t="s">
        <v>106</v>
      </c>
      <c r="C8112">
        <v>9406582649</v>
      </c>
      <c r="D8112" s="2">
        <v>1</v>
      </c>
      <c r="E8112" t="str">
        <f>"4574674200915312"</f>
        <v>4574674200915312</v>
      </c>
      <c r="F8112" t="str">
        <f>"159"</f>
        <v>159</v>
      </c>
      <c r="G8112">
        <v>1</v>
      </c>
      <c r="H8112">
        <v>2023</v>
      </c>
      <c r="I8112" t="s">
        <v>8227</v>
      </c>
    </row>
    <row r="8113" spans="1:9" x14ac:dyDescent="0.3">
      <c r="A8113" t="s">
        <v>10129</v>
      </c>
      <c r="B8113" t="s">
        <v>106</v>
      </c>
      <c r="C8113">
        <v>9406582649</v>
      </c>
      <c r="D8113" s="2">
        <v>1</v>
      </c>
      <c r="E8113" t="str">
        <f>"4574674200915619"</f>
        <v>4574674200915619</v>
      </c>
      <c r="F8113" t="str">
        <f>"415"</f>
        <v>415</v>
      </c>
      <c r="G8113">
        <v>1</v>
      </c>
      <c r="H8113">
        <v>2023</v>
      </c>
      <c r="I8113" t="s">
        <v>8228</v>
      </c>
    </row>
    <row r="8114" spans="1:9" x14ac:dyDescent="0.3">
      <c r="A8114" t="s">
        <v>10129</v>
      </c>
      <c r="B8114" t="s">
        <v>106</v>
      </c>
      <c r="C8114">
        <v>9406582649</v>
      </c>
      <c r="D8114" s="2">
        <v>1</v>
      </c>
      <c r="E8114" t="str">
        <f>"4574674200915601"</f>
        <v>4574674200915601</v>
      </c>
      <c r="F8114" t="str">
        <f>"476"</f>
        <v>476</v>
      </c>
      <c r="G8114">
        <v>1</v>
      </c>
      <c r="H8114">
        <v>2023</v>
      </c>
      <c r="I8114" t="s">
        <v>8229</v>
      </c>
    </row>
    <row r="8115" spans="1:9" x14ac:dyDescent="0.3">
      <c r="A8115" t="s">
        <v>10129</v>
      </c>
      <c r="B8115" t="s">
        <v>106</v>
      </c>
      <c r="C8115">
        <v>9406582649</v>
      </c>
      <c r="D8115" s="2">
        <v>1</v>
      </c>
      <c r="E8115" t="str">
        <f>"4574674200915635"</f>
        <v>4574674200915635</v>
      </c>
      <c r="F8115" t="str">
        <f>"258"</f>
        <v>258</v>
      </c>
      <c r="G8115">
        <v>1</v>
      </c>
      <c r="H8115">
        <v>2023</v>
      </c>
      <c r="I8115" t="s">
        <v>8230</v>
      </c>
    </row>
    <row r="8116" spans="1:9" x14ac:dyDescent="0.3">
      <c r="A8116" t="s">
        <v>10129</v>
      </c>
      <c r="B8116" t="s">
        <v>106</v>
      </c>
      <c r="C8116">
        <v>9406582649</v>
      </c>
      <c r="D8116" s="2">
        <v>1</v>
      </c>
      <c r="E8116" t="str">
        <f>"4574674200915627"</f>
        <v>4574674200915627</v>
      </c>
      <c r="F8116" t="str">
        <f>"893"</f>
        <v>893</v>
      </c>
      <c r="G8116">
        <v>1</v>
      </c>
      <c r="H8116">
        <v>2023</v>
      </c>
      <c r="I8116" t="s">
        <v>8231</v>
      </c>
    </row>
    <row r="8117" spans="1:9" x14ac:dyDescent="0.3">
      <c r="A8117" t="s">
        <v>10130</v>
      </c>
      <c r="B8117" t="s">
        <v>107</v>
      </c>
      <c r="C8117">
        <v>9406582649</v>
      </c>
      <c r="D8117" s="2">
        <v>1</v>
      </c>
      <c r="E8117" t="str">
        <f>"4574674200915692"</f>
        <v>4574674200915692</v>
      </c>
      <c r="F8117" t="str">
        <f>"863"</f>
        <v>863</v>
      </c>
      <c r="G8117">
        <v>1</v>
      </c>
      <c r="H8117">
        <v>2023</v>
      </c>
      <c r="I8117" t="s">
        <v>8232</v>
      </c>
    </row>
    <row r="8118" spans="1:9" x14ac:dyDescent="0.3">
      <c r="A8118" t="s">
        <v>10130</v>
      </c>
      <c r="B8118" t="s">
        <v>107</v>
      </c>
      <c r="C8118">
        <v>9406582649</v>
      </c>
      <c r="D8118" s="2">
        <v>1</v>
      </c>
      <c r="E8118" t="str">
        <f>"4574674200915833"</f>
        <v>4574674200915833</v>
      </c>
      <c r="F8118" t="str">
        <f>"915"</f>
        <v>915</v>
      </c>
      <c r="G8118">
        <v>1</v>
      </c>
      <c r="H8118">
        <v>2023</v>
      </c>
      <c r="I8118" t="s">
        <v>8233</v>
      </c>
    </row>
    <row r="8119" spans="1:9" x14ac:dyDescent="0.3">
      <c r="A8119" t="s">
        <v>10130</v>
      </c>
      <c r="B8119" t="s">
        <v>107</v>
      </c>
      <c r="C8119">
        <v>9406582649</v>
      </c>
      <c r="D8119" s="2">
        <v>1</v>
      </c>
      <c r="E8119" t="str">
        <f>"4574674200915817"</f>
        <v>4574674200915817</v>
      </c>
      <c r="F8119" t="str">
        <f>"242"</f>
        <v>242</v>
      </c>
      <c r="G8119">
        <v>1</v>
      </c>
      <c r="H8119">
        <v>2023</v>
      </c>
      <c r="I8119" t="s">
        <v>8234</v>
      </c>
    </row>
    <row r="8120" spans="1:9" x14ac:dyDescent="0.3">
      <c r="A8120" t="s">
        <v>10130</v>
      </c>
      <c r="B8120" t="s">
        <v>107</v>
      </c>
      <c r="C8120">
        <v>9406582649</v>
      </c>
      <c r="D8120" s="2">
        <v>1</v>
      </c>
      <c r="E8120" t="str">
        <f>"4574674200915742"</f>
        <v>4574674200915742</v>
      </c>
      <c r="F8120" t="str">
        <f>"003"</f>
        <v>003</v>
      </c>
      <c r="G8120">
        <v>1</v>
      </c>
      <c r="H8120">
        <v>2023</v>
      </c>
      <c r="I8120" t="s">
        <v>8235</v>
      </c>
    </row>
    <row r="8121" spans="1:9" x14ac:dyDescent="0.3">
      <c r="A8121" t="s">
        <v>10130</v>
      </c>
      <c r="B8121" t="s">
        <v>107</v>
      </c>
      <c r="C8121">
        <v>9406582649</v>
      </c>
      <c r="D8121" s="2">
        <v>1</v>
      </c>
      <c r="E8121" t="str">
        <f>"4574674200915734"</f>
        <v>4574674200915734</v>
      </c>
      <c r="F8121" t="str">
        <f>"842"</f>
        <v>842</v>
      </c>
      <c r="G8121">
        <v>1</v>
      </c>
      <c r="H8121">
        <v>2023</v>
      </c>
      <c r="I8121" t="s">
        <v>8236</v>
      </c>
    </row>
    <row r="8122" spans="1:9" x14ac:dyDescent="0.3">
      <c r="A8122" t="s">
        <v>10130</v>
      </c>
      <c r="B8122" t="s">
        <v>107</v>
      </c>
      <c r="C8122">
        <v>9406582649</v>
      </c>
      <c r="D8122" s="2">
        <v>1</v>
      </c>
      <c r="E8122" t="str">
        <f>"4574674200915759"</f>
        <v>4574674200915759</v>
      </c>
      <c r="F8122" t="str">
        <f>"938"</f>
        <v>938</v>
      </c>
      <c r="G8122">
        <v>1</v>
      </c>
      <c r="H8122">
        <v>2023</v>
      </c>
      <c r="I8122" t="s">
        <v>8237</v>
      </c>
    </row>
    <row r="8123" spans="1:9" x14ac:dyDescent="0.3">
      <c r="A8123" t="s">
        <v>10130</v>
      </c>
      <c r="B8123" t="s">
        <v>107</v>
      </c>
      <c r="C8123">
        <v>9406582649</v>
      </c>
      <c r="D8123" s="2">
        <v>1</v>
      </c>
      <c r="E8123" t="str">
        <f>"4574674200916047"</f>
        <v>4574674200916047</v>
      </c>
      <c r="F8123" t="str">
        <f>"549"</f>
        <v>549</v>
      </c>
      <c r="G8123">
        <v>1</v>
      </c>
      <c r="H8123">
        <v>2023</v>
      </c>
      <c r="I8123" t="s">
        <v>8238</v>
      </c>
    </row>
    <row r="8124" spans="1:9" x14ac:dyDescent="0.3">
      <c r="A8124" t="s">
        <v>10130</v>
      </c>
      <c r="B8124" t="s">
        <v>107</v>
      </c>
      <c r="C8124">
        <v>9406582649</v>
      </c>
      <c r="D8124" s="2">
        <v>1</v>
      </c>
      <c r="E8124" t="str">
        <f>"4574674200916054"</f>
        <v>4574674200916054</v>
      </c>
      <c r="F8124" t="str">
        <f>"590"</f>
        <v>590</v>
      </c>
      <c r="G8124">
        <v>1</v>
      </c>
      <c r="H8124">
        <v>2023</v>
      </c>
      <c r="I8124" t="s">
        <v>8239</v>
      </c>
    </row>
    <row r="8125" spans="1:9" x14ac:dyDescent="0.3">
      <c r="A8125" t="s">
        <v>10130</v>
      </c>
      <c r="B8125" t="s">
        <v>107</v>
      </c>
      <c r="C8125">
        <v>9406582649</v>
      </c>
      <c r="D8125" s="2">
        <v>1</v>
      </c>
      <c r="E8125" t="str">
        <f>"4574674200916138"</f>
        <v>4574674200916138</v>
      </c>
      <c r="F8125" t="str">
        <f>"075"</f>
        <v>075</v>
      </c>
      <c r="G8125">
        <v>1</v>
      </c>
      <c r="H8125">
        <v>2023</v>
      </c>
      <c r="I8125" t="s">
        <v>8240</v>
      </c>
    </row>
    <row r="8126" spans="1:9" x14ac:dyDescent="0.3">
      <c r="A8126" t="s">
        <v>10130</v>
      </c>
      <c r="B8126" t="s">
        <v>107</v>
      </c>
      <c r="C8126">
        <v>9406582649</v>
      </c>
      <c r="D8126" s="2">
        <v>1</v>
      </c>
      <c r="E8126" t="str">
        <f>"4574674200916096"</f>
        <v>4574674200916096</v>
      </c>
      <c r="F8126" t="str">
        <f>"979"</f>
        <v>979</v>
      </c>
      <c r="G8126">
        <v>1</v>
      </c>
      <c r="H8126">
        <v>2023</v>
      </c>
      <c r="I8126" t="s">
        <v>8241</v>
      </c>
    </row>
    <row r="8127" spans="1:9" x14ac:dyDescent="0.3">
      <c r="A8127" t="s">
        <v>10131</v>
      </c>
      <c r="B8127" t="s">
        <v>108</v>
      </c>
      <c r="C8127">
        <v>9406582649</v>
      </c>
      <c r="D8127" s="2">
        <v>1</v>
      </c>
      <c r="E8127" t="str">
        <f>"4574674200916112"</f>
        <v>4574674200916112</v>
      </c>
      <c r="F8127" t="str">
        <f>"941"</f>
        <v>941</v>
      </c>
      <c r="G8127">
        <v>1</v>
      </c>
      <c r="H8127">
        <v>2023</v>
      </c>
      <c r="I8127" t="s">
        <v>8242</v>
      </c>
    </row>
    <row r="8128" spans="1:9" x14ac:dyDescent="0.3">
      <c r="A8128" t="s">
        <v>10131</v>
      </c>
      <c r="B8128" t="s">
        <v>108</v>
      </c>
      <c r="C8128">
        <v>9406582649</v>
      </c>
      <c r="D8128" s="2">
        <v>1</v>
      </c>
      <c r="E8128" t="str">
        <f>"4574674200916229"</f>
        <v>4574674200916229</v>
      </c>
      <c r="F8128" t="str">
        <f>"921"</f>
        <v>921</v>
      </c>
      <c r="G8128">
        <v>1</v>
      </c>
      <c r="H8128">
        <v>2023</v>
      </c>
      <c r="I8128" t="s">
        <v>8243</v>
      </c>
    </row>
    <row r="8129" spans="1:9" x14ac:dyDescent="0.3">
      <c r="A8129" t="s">
        <v>10131</v>
      </c>
      <c r="B8129" t="s">
        <v>108</v>
      </c>
      <c r="C8129">
        <v>9406582649</v>
      </c>
      <c r="D8129" s="2">
        <v>1</v>
      </c>
      <c r="E8129" t="str">
        <f>"4574674200916211"</f>
        <v>4574674200916211</v>
      </c>
      <c r="F8129" t="str">
        <f>"504"</f>
        <v>504</v>
      </c>
      <c r="G8129">
        <v>1</v>
      </c>
      <c r="H8129">
        <v>2023</v>
      </c>
      <c r="I8129" t="s">
        <v>8244</v>
      </c>
    </row>
    <row r="8130" spans="1:9" x14ac:dyDescent="0.3">
      <c r="A8130" t="s">
        <v>10131</v>
      </c>
      <c r="B8130" t="s">
        <v>108</v>
      </c>
      <c r="C8130">
        <v>9406582649</v>
      </c>
      <c r="D8130" s="2">
        <v>1</v>
      </c>
      <c r="E8130" t="str">
        <f>"4574674200916252"</f>
        <v>4574674200916252</v>
      </c>
      <c r="F8130" t="str">
        <f>"499"</f>
        <v>499</v>
      </c>
      <c r="G8130">
        <v>1</v>
      </c>
      <c r="H8130">
        <v>2023</v>
      </c>
      <c r="I8130" t="s">
        <v>8245</v>
      </c>
    </row>
    <row r="8131" spans="1:9" x14ac:dyDescent="0.3">
      <c r="A8131" t="s">
        <v>10131</v>
      </c>
      <c r="B8131" t="s">
        <v>108</v>
      </c>
      <c r="C8131">
        <v>9406582649</v>
      </c>
      <c r="D8131" s="2">
        <v>1</v>
      </c>
      <c r="E8131" t="str">
        <f>"4574674200916286"</f>
        <v>4574674200916286</v>
      </c>
      <c r="F8131" t="str">
        <f>"031"</f>
        <v>031</v>
      </c>
      <c r="G8131">
        <v>1</v>
      </c>
      <c r="H8131">
        <v>2023</v>
      </c>
      <c r="I8131" t="s">
        <v>8246</v>
      </c>
    </row>
    <row r="8132" spans="1:9" x14ac:dyDescent="0.3">
      <c r="A8132" t="s">
        <v>10131</v>
      </c>
      <c r="B8132" t="s">
        <v>108</v>
      </c>
      <c r="C8132">
        <v>9406582649</v>
      </c>
      <c r="D8132" s="2">
        <v>1</v>
      </c>
      <c r="E8132" t="str">
        <f>"4574674200916302"</f>
        <v>4574674200916302</v>
      </c>
      <c r="F8132" t="str">
        <f>"313"</f>
        <v>313</v>
      </c>
      <c r="G8132">
        <v>1</v>
      </c>
      <c r="H8132">
        <v>2023</v>
      </c>
      <c r="I8132" t="s">
        <v>8247</v>
      </c>
    </row>
    <row r="8133" spans="1:9" x14ac:dyDescent="0.3">
      <c r="A8133" t="s">
        <v>10131</v>
      </c>
      <c r="B8133" t="s">
        <v>108</v>
      </c>
      <c r="C8133">
        <v>9406582649</v>
      </c>
      <c r="D8133" s="2">
        <v>1</v>
      </c>
      <c r="E8133" t="str">
        <f>"4574674200916336"</f>
        <v>4574674200916336</v>
      </c>
      <c r="F8133" t="str">
        <f>"628"</f>
        <v>628</v>
      </c>
      <c r="G8133">
        <v>1</v>
      </c>
      <c r="H8133">
        <v>2023</v>
      </c>
      <c r="I8133" t="s">
        <v>8248</v>
      </c>
    </row>
    <row r="8134" spans="1:9" x14ac:dyDescent="0.3">
      <c r="A8134" t="s">
        <v>10131</v>
      </c>
      <c r="B8134" t="s">
        <v>108</v>
      </c>
      <c r="C8134">
        <v>9406582649</v>
      </c>
      <c r="D8134" s="2">
        <v>1</v>
      </c>
      <c r="E8134" t="str">
        <f>"4574674200916351"</f>
        <v>4574674200916351</v>
      </c>
      <c r="F8134" t="str">
        <f>"989"</f>
        <v>989</v>
      </c>
      <c r="G8134">
        <v>1</v>
      </c>
      <c r="H8134">
        <v>2023</v>
      </c>
      <c r="I8134" t="s">
        <v>8249</v>
      </c>
    </row>
    <row r="8135" spans="1:9" x14ac:dyDescent="0.3">
      <c r="A8135" t="s">
        <v>10131</v>
      </c>
      <c r="B8135" t="s">
        <v>108</v>
      </c>
      <c r="C8135">
        <v>9406582649</v>
      </c>
      <c r="D8135" s="2">
        <v>1</v>
      </c>
      <c r="E8135" t="str">
        <f>"4574674200916476"</f>
        <v>4574674200916476</v>
      </c>
      <c r="F8135" t="str">
        <f>"164"</f>
        <v>164</v>
      </c>
      <c r="G8135">
        <v>1</v>
      </c>
      <c r="H8135">
        <v>2023</v>
      </c>
      <c r="I8135" t="s">
        <v>8250</v>
      </c>
    </row>
    <row r="8136" spans="1:9" x14ac:dyDescent="0.3">
      <c r="A8136" t="s">
        <v>10131</v>
      </c>
      <c r="B8136" t="s">
        <v>108</v>
      </c>
      <c r="C8136">
        <v>9406582649</v>
      </c>
      <c r="D8136" s="2">
        <v>1</v>
      </c>
      <c r="E8136" t="str">
        <f>"4574674200916484"</f>
        <v>4574674200916484</v>
      </c>
      <c r="F8136" t="str">
        <f>"585"</f>
        <v>585</v>
      </c>
      <c r="G8136">
        <v>1</v>
      </c>
      <c r="H8136">
        <v>2023</v>
      </c>
      <c r="I8136" t="s">
        <v>8251</v>
      </c>
    </row>
    <row r="8137" spans="1:9" x14ac:dyDescent="0.3">
      <c r="A8137" t="s">
        <v>10132</v>
      </c>
      <c r="B8137" t="s">
        <v>109</v>
      </c>
      <c r="C8137">
        <v>9406582649</v>
      </c>
      <c r="D8137" s="2">
        <v>1</v>
      </c>
      <c r="E8137" t="str">
        <f>"4574674200916633"</f>
        <v>4574674200916633</v>
      </c>
      <c r="F8137" t="str">
        <f>"502"</f>
        <v>502</v>
      </c>
      <c r="G8137">
        <v>1</v>
      </c>
      <c r="H8137">
        <v>2023</v>
      </c>
      <c r="I8137" t="s">
        <v>8252</v>
      </c>
    </row>
    <row r="8138" spans="1:9" x14ac:dyDescent="0.3">
      <c r="A8138" t="s">
        <v>10132</v>
      </c>
      <c r="B8138" t="s">
        <v>109</v>
      </c>
      <c r="C8138">
        <v>9406582649</v>
      </c>
      <c r="D8138" s="2">
        <v>1</v>
      </c>
      <c r="E8138" t="str">
        <f>"4574674200916658"</f>
        <v>4574674200916658</v>
      </c>
      <c r="F8138" t="str">
        <f>"161"</f>
        <v>161</v>
      </c>
      <c r="G8138">
        <v>1</v>
      </c>
      <c r="H8138">
        <v>2023</v>
      </c>
      <c r="I8138" t="s">
        <v>8253</v>
      </c>
    </row>
    <row r="8139" spans="1:9" x14ac:dyDescent="0.3">
      <c r="A8139" t="s">
        <v>10132</v>
      </c>
      <c r="B8139" t="s">
        <v>109</v>
      </c>
      <c r="C8139">
        <v>9406582649</v>
      </c>
      <c r="D8139" s="2">
        <v>1</v>
      </c>
      <c r="E8139" t="str">
        <f>"4574674200916641"</f>
        <v>4574674200916641</v>
      </c>
      <c r="F8139" t="str">
        <f>"561"</f>
        <v>561</v>
      </c>
      <c r="G8139">
        <v>1</v>
      </c>
      <c r="H8139">
        <v>2023</v>
      </c>
      <c r="I8139" t="s">
        <v>8254</v>
      </c>
    </row>
    <row r="8140" spans="1:9" x14ac:dyDescent="0.3">
      <c r="A8140" t="s">
        <v>10132</v>
      </c>
      <c r="B8140" t="s">
        <v>109</v>
      </c>
      <c r="C8140">
        <v>9406582649</v>
      </c>
      <c r="D8140" s="2">
        <v>1</v>
      </c>
      <c r="E8140" t="str">
        <f>"4574674200916708"</f>
        <v>4574674200916708</v>
      </c>
      <c r="F8140" t="str">
        <f>"838"</f>
        <v>838</v>
      </c>
      <c r="G8140">
        <v>1</v>
      </c>
      <c r="H8140">
        <v>2023</v>
      </c>
      <c r="I8140" t="s">
        <v>8255</v>
      </c>
    </row>
    <row r="8141" spans="1:9" x14ac:dyDescent="0.3">
      <c r="A8141" t="s">
        <v>10132</v>
      </c>
      <c r="B8141" t="s">
        <v>109</v>
      </c>
      <c r="C8141">
        <v>9406582649</v>
      </c>
      <c r="D8141" s="2">
        <v>1</v>
      </c>
      <c r="E8141" t="str">
        <f>"4574674200916716"</f>
        <v>4574674200916716</v>
      </c>
      <c r="F8141" t="str">
        <f>"891"</f>
        <v>891</v>
      </c>
      <c r="G8141">
        <v>1</v>
      </c>
      <c r="H8141">
        <v>2023</v>
      </c>
      <c r="I8141" t="s">
        <v>8256</v>
      </c>
    </row>
    <row r="8142" spans="1:9" x14ac:dyDescent="0.3">
      <c r="A8142" t="s">
        <v>10132</v>
      </c>
      <c r="B8142" t="s">
        <v>109</v>
      </c>
      <c r="C8142">
        <v>9406582649</v>
      </c>
      <c r="D8142" s="2">
        <v>1</v>
      </c>
      <c r="E8142" t="str">
        <f>"4574674200916740"</f>
        <v>4574674200916740</v>
      </c>
      <c r="F8142" t="str">
        <f>"493"</f>
        <v>493</v>
      </c>
      <c r="G8142">
        <v>1</v>
      </c>
      <c r="H8142">
        <v>2023</v>
      </c>
      <c r="I8142" t="s">
        <v>8257</v>
      </c>
    </row>
    <row r="8143" spans="1:9" x14ac:dyDescent="0.3">
      <c r="A8143" t="s">
        <v>10132</v>
      </c>
      <c r="B8143" t="s">
        <v>109</v>
      </c>
      <c r="C8143">
        <v>9406582649</v>
      </c>
      <c r="D8143" s="2">
        <v>1</v>
      </c>
      <c r="E8143" t="str">
        <f>"4574674200916732"</f>
        <v>4574674200916732</v>
      </c>
      <c r="F8143" t="str">
        <f>"233"</f>
        <v>233</v>
      </c>
      <c r="G8143">
        <v>1</v>
      </c>
      <c r="H8143">
        <v>2023</v>
      </c>
      <c r="I8143" t="s">
        <v>8258</v>
      </c>
    </row>
    <row r="8144" spans="1:9" x14ac:dyDescent="0.3">
      <c r="A8144" t="s">
        <v>10132</v>
      </c>
      <c r="B8144" t="s">
        <v>109</v>
      </c>
      <c r="C8144">
        <v>9406582649</v>
      </c>
      <c r="D8144" s="2">
        <v>1</v>
      </c>
      <c r="E8144" t="str">
        <f>"4574674200916807"</f>
        <v>4574674200916807</v>
      </c>
      <c r="F8144" t="str">
        <f>"968"</f>
        <v>968</v>
      </c>
      <c r="G8144">
        <v>1</v>
      </c>
      <c r="H8144">
        <v>2023</v>
      </c>
      <c r="I8144" t="s">
        <v>8259</v>
      </c>
    </row>
    <row r="8145" spans="1:9" x14ac:dyDescent="0.3">
      <c r="A8145" t="s">
        <v>10132</v>
      </c>
      <c r="B8145" t="s">
        <v>109</v>
      </c>
      <c r="C8145">
        <v>9406582649</v>
      </c>
      <c r="D8145" s="2">
        <v>1</v>
      </c>
      <c r="E8145" t="str">
        <f>"4574674200916583"</f>
        <v>4574674200916583</v>
      </c>
      <c r="F8145" t="str">
        <f>"860"</f>
        <v>860</v>
      </c>
      <c r="G8145">
        <v>1</v>
      </c>
      <c r="H8145">
        <v>2023</v>
      </c>
      <c r="I8145" t="s">
        <v>8260</v>
      </c>
    </row>
    <row r="8146" spans="1:9" x14ac:dyDescent="0.3">
      <c r="A8146" t="s">
        <v>10132</v>
      </c>
      <c r="B8146" t="s">
        <v>109</v>
      </c>
      <c r="C8146">
        <v>9406582649</v>
      </c>
      <c r="D8146" s="2">
        <v>1</v>
      </c>
      <c r="E8146" t="str">
        <f>"4574674200917003"</f>
        <v>4574674200917003</v>
      </c>
      <c r="F8146" t="str">
        <f>"172"</f>
        <v>172</v>
      </c>
      <c r="G8146">
        <v>1</v>
      </c>
      <c r="H8146">
        <v>2023</v>
      </c>
      <c r="I8146" t="s">
        <v>8261</v>
      </c>
    </row>
    <row r="8147" spans="1:9" x14ac:dyDescent="0.3">
      <c r="A8147" t="s">
        <v>10133</v>
      </c>
      <c r="B8147" t="s">
        <v>110</v>
      </c>
      <c r="C8147">
        <v>9406980470</v>
      </c>
      <c r="D8147" s="2">
        <v>1</v>
      </c>
      <c r="E8147" t="str">
        <f>"4574674200916856"</f>
        <v>4574674200916856</v>
      </c>
      <c r="F8147" t="str">
        <f>"655"</f>
        <v>655</v>
      </c>
      <c r="G8147">
        <v>1</v>
      </c>
      <c r="H8147">
        <v>2023</v>
      </c>
      <c r="I8147" t="s">
        <v>8262</v>
      </c>
    </row>
    <row r="8148" spans="1:9" x14ac:dyDescent="0.3">
      <c r="A8148" t="s">
        <v>10133</v>
      </c>
      <c r="B8148" t="s">
        <v>110</v>
      </c>
      <c r="C8148">
        <v>9406980470</v>
      </c>
      <c r="D8148" s="2">
        <v>1</v>
      </c>
      <c r="E8148" t="str">
        <f>"4574674200916872"</f>
        <v>4574674200916872</v>
      </c>
      <c r="F8148" t="str">
        <f>"533"</f>
        <v>533</v>
      </c>
      <c r="G8148">
        <v>1</v>
      </c>
      <c r="H8148">
        <v>2023</v>
      </c>
      <c r="I8148" t="s">
        <v>8263</v>
      </c>
    </row>
    <row r="8149" spans="1:9" x14ac:dyDescent="0.3">
      <c r="A8149" t="s">
        <v>10133</v>
      </c>
      <c r="B8149" t="s">
        <v>110</v>
      </c>
      <c r="C8149">
        <v>9406980470</v>
      </c>
      <c r="D8149" s="2">
        <v>1</v>
      </c>
      <c r="E8149" t="str">
        <f>"4574674200916880"</f>
        <v>4574674200916880</v>
      </c>
      <c r="F8149" t="str">
        <f>"834"</f>
        <v>834</v>
      </c>
      <c r="G8149">
        <v>1</v>
      </c>
      <c r="H8149">
        <v>2023</v>
      </c>
      <c r="I8149" t="s">
        <v>8264</v>
      </c>
    </row>
    <row r="8150" spans="1:9" x14ac:dyDescent="0.3">
      <c r="A8150" t="s">
        <v>10133</v>
      </c>
      <c r="B8150" t="s">
        <v>110</v>
      </c>
      <c r="C8150">
        <v>9406980470</v>
      </c>
      <c r="D8150" s="2">
        <v>1</v>
      </c>
      <c r="E8150" t="str">
        <f>"4574674200916922"</f>
        <v>4574674200916922</v>
      </c>
      <c r="F8150" t="str">
        <f>"851"</f>
        <v>851</v>
      </c>
      <c r="G8150">
        <v>1</v>
      </c>
      <c r="H8150">
        <v>2023</v>
      </c>
      <c r="I8150" t="s">
        <v>8265</v>
      </c>
    </row>
    <row r="8151" spans="1:9" x14ac:dyDescent="0.3">
      <c r="A8151" t="s">
        <v>10133</v>
      </c>
      <c r="B8151" t="s">
        <v>110</v>
      </c>
      <c r="C8151">
        <v>9406980470</v>
      </c>
      <c r="D8151" s="2">
        <v>1</v>
      </c>
      <c r="E8151" t="str">
        <f>"4574674200916948"</f>
        <v>4574674200916948</v>
      </c>
      <c r="F8151" t="str">
        <f>"633"</f>
        <v>633</v>
      </c>
      <c r="G8151">
        <v>1</v>
      </c>
      <c r="H8151">
        <v>2023</v>
      </c>
      <c r="I8151" t="s">
        <v>8266</v>
      </c>
    </row>
    <row r="8152" spans="1:9" x14ac:dyDescent="0.3">
      <c r="A8152" t="s">
        <v>10133</v>
      </c>
      <c r="B8152" t="s">
        <v>110</v>
      </c>
      <c r="C8152">
        <v>9406980470</v>
      </c>
      <c r="D8152" s="2">
        <v>1</v>
      </c>
      <c r="E8152" t="str">
        <f>"4574674200916997"</f>
        <v>4574674200916997</v>
      </c>
      <c r="F8152" t="str">
        <f>"759"</f>
        <v>759</v>
      </c>
      <c r="G8152">
        <v>1</v>
      </c>
      <c r="H8152">
        <v>2023</v>
      </c>
      <c r="I8152" t="s">
        <v>8267</v>
      </c>
    </row>
    <row r="8153" spans="1:9" x14ac:dyDescent="0.3">
      <c r="A8153" t="s">
        <v>10133</v>
      </c>
      <c r="B8153" t="s">
        <v>110</v>
      </c>
      <c r="C8153">
        <v>9406980470</v>
      </c>
      <c r="D8153" s="2">
        <v>1</v>
      </c>
      <c r="E8153" t="str">
        <f>"4574674200917219"</f>
        <v>4574674200917219</v>
      </c>
      <c r="F8153" t="str">
        <f>"741"</f>
        <v>741</v>
      </c>
      <c r="G8153">
        <v>1</v>
      </c>
      <c r="H8153">
        <v>2023</v>
      </c>
      <c r="I8153" t="s">
        <v>8268</v>
      </c>
    </row>
    <row r="8154" spans="1:9" x14ac:dyDescent="0.3">
      <c r="A8154" t="s">
        <v>10133</v>
      </c>
      <c r="B8154" t="s">
        <v>110</v>
      </c>
      <c r="C8154">
        <v>9406980470</v>
      </c>
      <c r="D8154" s="2">
        <v>1</v>
      </c>
      <c r="E8154" t="str">
        <f>"4574674200917110"</f>
        <v>4574674200917110</v>
      </c>
      <c r="F8154" t="str">
        <f>"464"</f>
        <v>464</v>
      </c>
      <c r="G8154">
        <v>1</v>
      </c>
      <c r="H8154">
        <v>2023</v>
      </c>
      <c r="I8154" t="s">
        <v>8269</v>
      </c>
    </row>
    <row r="8155" spans="1:9" x14ac:dyDescent="0.3">
      <c r="A8155" t="s">
        <v>10133</v>
      </c>
      <c r="B8155" t="s">
        <v>110</v>
      </c>
      <c r="C8155">
        <v>9406980470</v>
      </c>
      <c r="D8155" s="2">
        <v>1</v>
      </c>
      <c r="E8155" t="str">
        <f>"4574674200917136"</f>
        <v>4574674200917136</v>
      </c>
      <c r="F8155" t="str">
        <f>"576"</f>
        <v>576</v>
      </c>
      <c r="G8155">
        <v>1</v>
      </c>
      <c r="H8155">
        <v>2023</v>
      </c>
      <c r="I8155" t="s">
        <v>8270</v>
      </c>
    </row>
    <row r="8156" spans="1:9" x14ac:dyDescent="0.3">
      <c r="A8156" t="s">
        <v>10133</v>
      </c>
      <c r="B8156" t="s">
        <v>110</v>
      </c>
      <c r="C8156">
        <v>9406980470</v>
      </c>
      <c r="D8156" s="2">
        <v>1</v>
      </c>
      <c r="E8156" t="str">
        <f>"4574674200917243"</f>
        <v>4574674200917243</v>
      </c>
      <c r="F8156" t="str">
        <f>"414"</f>
        <v>414</v>
      </c>
      <c r="G8156">
        <v>1</v>
      </c>
      <c r="H8156">
        <v>2023</v>
      </c>
      <c r="I8156" t="s">
        <v>8271</v>
      </c>
    </row>
    <row r="8157" spans="1:9" x14ac:dyDescent="0.3">
      <c r="A8157" t="s">
        <v>10134</v>
      </c>
      <c r="B8157" t="s">
        <v>111</v>
      </c>
      <c r="C8157">
        <v>9406980470</v>
      </c>
      <c r="D8157" s="2">
        <v>1</v>
      </c>
      <c r="E8157" t="str">
        <f>"4574674200917292"</f>
        <v>4574674200917292</v>
      </c>
      <c r="F8157" t="str">
        <f>"680"</f>
        <v>680</v>
      </c>
      <c r="G8157">
        <v>1</v>
      </c>
      <c r="H8157">
        <v>2023</v>
      </c>
      <c r="I8157" t="s">
        <v>8272</v>
      </c>
    </row>
    <row r="8158" spans="1:9" x14ac:dyDescent="0.3">
      <c r="A8158" t="s">
        <v>10134</v>
      </c>
      <c r="B8158" t="s">
        <v>111</v>
      </c>
      <c r="C8158">
        <v>9406980470</v>
      </c>
      <c r="D8158" s="2">
        <v>1</v>
      </c>
      <c r="E8158" t="str">
        <f>"4574674200917318"</f>
        <v>4574674200917318</v>
      </c>
      <c r="F8158" t="str">
        <f>"754"</f>
        <v>754</v>
      </c>
      <c r="G8158">
        <v>1</v>
      </c>
      <c r="H8158">
        <v>2023</v>
      </c>
      <c r="I8158" t="s">
        <v>8273</v>
      </c>
    </row>
    <row r="8159" spans="1:9" x14ac:dyDescent="0.3">
      <c r="A8159" t="s">
        <v>10134</v>
      </c>
      <c r="B8159" t="s">
        <v>111</v>
      </c>
      <c r="C8159">
        <v>9406980470</v>
      </c>
      <c r="D8159" s="2">
        <v>1</v>
      </c>
      <c r="E8159" t="str">
        <f>"4574674200917342"</f>
        <v>4574674200917342</v>
      </c>
      <c r="F8159" t="str">
        <f>"105"</f>
        <v>105</v>
      </c>
      <c r="G8159">
        <v>1</v>
      </c>
      <c r="H8159">
        <v>2023</v>
      </c>
      <c r="I8159" t="s">
        <v>8274</v>
      </c>
    </row>
    <row r="8160" spans="1:9" x14ac:dyDescent="0.3">
      <c r="A8160" t="s">
        <v>10134</v>
      </c>
      <c r="B8160" t="s">
        <v>111</v>
      </c>
      <c r="C8160">
        <v>9406980470</v>
      </c>
      <c r="D8160" s="2">
        <v>1</v>
      </c>
      <c r="E8160" t="str">
        <f>"4574674200917367"</f>
        <v>4574674200917367</v>
      </c>
      <c r="F8160" t="str">
        <f>"240"</f>
        <v>240</v>
      </c>
      <c r="G8160">
        <v>1</v>
      </c>
      <c r="H8160">
        <v>2023</v>
      </c>
      <c r="I8160" t="s">
        <v>8275</v>
      </c>
    </row>
    <row r="8161" spans="1:9" x14ac:dyDescent="0.3">
      <c r="A8161" t="s">
        <v>10134</v>
      </c>
      <c r="B8161" t="s">
        <v>111</v>
      </c>
      <c r="C8161">
        <v>9406980470</v>
      </c>
      <c r="D8161" s="2">
        <v>1</v>
      </c>
      <c r="E8161" t="str">
        <f>"4574674200917607"</f>
        <v>4574674200917607</v>
      </c>
      <c r="F8161" t="str">
        <f>"277"</f>
        <v>277</v>
      </c>
      <c r="G8161">
        <v>1</v>
      </c>
      <c r="H8161">
        <v>2023</v>
      </c>
      <c r="I8161" t="s">
        <v>8276</v>
      </c>
    </row>
    <row r="8162" spans="1:9" x14ac:dyDescent="0.3">
      <c r="A8162" t="s">
        <v>10134</v>
      </c>
      <c r="B8162" t="s">
        <v>111</v>
      </c>
      <c r="C8162">
        <v>9406980470</v>
      </c>
      <c r="D8162" s="2">
        <v>1</v>
      </c>
      <c r="E8162" t="str">
        <f>"4574674200917649"</f>
        <v>4574674200917649</v>
      </c>
      <c r="F8162" t="str">
        <f>"753"</f>
        <v>753</v>
      </c>
      <c r="G8162">
        <v>1</v>
      </c>
      <c r="H8162">
        <v>2023</v>
      </c>
      <c r="I8162" t="s">
        <v>8277</v>
      </c>
    </row>
    <row r="8163" spans="1:9" x14ac:dyDescent="0.3">
      <c r="A8163" t="s">
        <v>10134</v>
      </c>
      <c r="B8163" t="s">
        <v>111</v>
      </c>
      <c r="C8163">
        <v>9406980470</v>
      </c>
      <c r="D8163" s="2">
        <v>1</v>
      </c>
      <c r="E8163" t="str">
        <f>"4574674200917631"</f>
        <v>4574674200917631</v>
      </c>
      <c r="F8163" t="str">
        <f>"670"</f>
        <v>670</v>
      </c>
      <c r="G8163">
        <v>1</v>
      </c>
      <c r="H8163">
        <v>2023</v>
      </c>
      <c r="I8163" t="s">
        <v>8278</v>
      </c>
    </row>
    <row r="8164" spans="1:9" x14ac:dyDescent="0.3">
      <c r="A8164" t="s">
        <v>10134</v>
      </c>
      <c r="B8164" t="s">
        <v>111</v>
      </c>
      <c r="C8164">
        <v>9406980470</v>
      </c>
      <c r="D8164" s="2">
        <v>1</v>
      </c>
      <c r="E8164" t="str">
        <f>"4574674200917425"</f>
        <v>4574674200917425</v>
      </c>
      <c r="F8164" t="str">
        <f>"501"</f>
        <v>501</v>
      </c>
      <c r="G8164">
        <v>1</v>
      </c>
      <c r="H8164">
        <v>2023</v>
      </c>
      <c r="I8164" t="s">
        <v>8279</v>
      </c>
    </row>
    <row r="8165" spans="1:9" x14ac:dyDescent="0.3">
      <c r="A8165" t="s">
        <v>10134</v>
      </c>
      <c r="B8165" t="s">
        <v>111</v>
      </c>
      <c r="C8165">
        <v>9406980470</v>
      </c>
      <c r="D8165" s="2">
        <v>1</v>
      </c>
      <c r="E8165" t="str">
        <f>"4574674200917441"</f>
        <v>4574674200917441</v>
      </c>
      <c r="F8165" t="str">
        <f>"744"</f>
        <v>744</v>
      </c>
      <c r="G8165">
        <v>1</v>
      </c>
      <c r="H8165">
        <v>2023</v>
      </c>
      <c r="I8165" t="s">
        <v>8280</v>
      </c>
    </row>
    <row r="8166" spans="1:9" x14ac:dyDescent="0.3">
      <c r="A8166" t="s">
        <v>10134</v>
      </c>
      <c r="B8166" t="s">
        <v>111</v>
      </c>
      <c r="C8166">
        <v>9406980470</v>
      </c>
      <c r="D8166" s="2">
        <v>1</v>
      </c>
      <c r="E8166" t="str">
        <f>"4574674200917722"</f>
        <v>4574674200917722</v>
      </c>
      <c r="F8166" t="str">
        <f>"965"</f>
        <v>965</v>
      </c>
      <c r="G8166">
        <v>1</v>
      </c>
      <c r="H8166">
        <v>2023</v>
      </c>
      <c r="I8166" t="s">
        <v>8281</v>
      </c>
    </row>
    <row r="8167" spans="1:9" x14ac:dyDescent="0.3">
      <c r="A8167" t="s">
        <v>10135</v>
      </c>
      <c r="B8167" t="s">
        <v>112</v>
      </c>
      <c r="C8167">
        <v>9406980470</v>
      </c>
      <c r="D8167" s="2">
        <v>1</v>
      </c>
      <c r="E8167" t="str">
        <f>"4574674200917730"</f>
        <v>4574674200917730</v>
      </c>
      <c r="F8167" t="str">
        <f>"476"</f>
        <v>476</v>
      </c>
      <c r="G8167">
        <v>1</v>
      </c>
      <c r="H8167">
        <v>2023</v>
      </c>
      <c r="I8167" t="s">
        <v>8282</v>
      </c>
    </row>
    <row r="8168" spans="1:9" x14ac:dyDescent="0.3">
      <c r="A8168" t="s">
        <v>10135</v>
      </c>
      <c r="B8168" t="s">
        <v>112</v>
      </c>
      <c r="C8168">
        <v>9406980470</v>
      </c>
      <c r="D8168" s="2">
        <v>1</v>
      </c>
      <c r="E8168" t="str">
        <f>"4574674200917771"</f>
        <v>4574674200917771</v>
      </c>
      <c r="F8168" t="str">
        <f>"669"</f>
        <v>669</v>
      </c>
      <c r="G8168">
        <v>1</v>
      </c>
      <c r="H8168">
        <v>2023</v>
      </c>
      <c r="I8168" t="s">
        <v>8283</v>
      </c>
    </row>
    <row r="8169" spans="1:9" x14ac:dyDescent="0.3">
      <c r="A8169" t="s">
        <v>10135</v>
      </c>
      <c r="B8169" t="s">
        <v>112</v>
      </c>
      <c r="C8169">
        <v>9406980470</v>
      </c>
      <c r="D8169" s="2">
        <v>1</v>
      </c>
      <c r="E8169" t="str">
        <f>"4574674200917813"</f>
        <v>4574674200917813</v>
      </c>
      <c r="F8169" t="str">
        <f>"124"</f>
        <v>124</v>
      </c>
      <c r="G8169">
        <v>1</v>
      </c>
      <c r="H8169">
        <v>2023</v>
      </c>
      <c r="I8169" t="s">
        <v>8284</v>
      </c>
    </row>
    <row r="8170" spans="1:9" x14ac:dyDescent="0.3">
      <c r="A8170" t="s">
        <v>10135</v>
      </c>
      <c r="B8170" t="s">
        <v>112</v>
      </c>
      <c r="C8170">
        <v>9406980470</v>
      </c>
      <c r="D8170" s="2">
        <v>1</v>
      </c>
      <c r="E8170" t="str">
        <f>"4574674200917805"</f>
        <v>4574674200917805</v>
      </c>
      <c r="F8170" t="str">
        <f>"432"</f>
        <v>432</v>
      </c>
      <c r="G8170">
        <v>1</v>
      </c>
      <c r="H8170">
        <v>2023</v>
      </c>
      <c r="I8170" t="s">
        <v>8285</v>
      </c>
    </row>
    <row r="8171" spans="1:9" x14ac:dyDescent="0.3">
      <c r="A8171" t="s">
        <v>10135</v>
      </c>
      <c r="B8171" t="s">
        <v>112</v>
      </c>
      <c r="C8171">
        <v>9406980470</v>
      </c>
      <c r="D8171" s="2">
        <v>1</v>
      </c>
      <c r="E8171" t="str">
        <f>"4574674200917557"</f>
        <v>4574674200917557</v>
      </c>
      <c r="F8171" t="str">
        <f>"289"</f>
        <v>289</v>
      </c>
      <c r="G8171">
        <v>1</v>
      </c>
      <c r="H8171">
        <v>2023</v>
      </c>
      <c r="I8171" t="s">
        <v>8286</v>
      </c>
    </row>
    <row r="8172" spans="1:9" x14ac:dyDescent="0.3">
      <c r="A8172" t="s">
        <v>10135</v>
      </c>
      <c r="B8172" t="s">
        <v>112</v>
      </c>
      <c r="C8172">
        <v>9406980470</v>
      </c>
      <c r="D8172" s="2">
        <v>1</v>
      </c>
      <c r="E8172" t="str">
        <f>"4574674200917896"</f>
        <v>4574674200917896</v>
      </c>
      <c r="F8172" t="str">
        <f>"659"</f>
        <v>659</v>
      </c>
      <c r="G8172">
        <v>1</v>
      </c>
      <c r="H8172">
        <v>2023</v>
      </c>
      <c r="I8172" t="s">
        <v>8287</v>
      </c>
    </row>
    <row r="8173" spans="1:9" x14ac:dyDescent="0.3">
      <c r="A8173" t="s">
        <v>10135</v>
      </c>
      <c r="B8173" t="s">
        <v>112</v>
      </c>
      <c r="C8173">
        <v>9406980470</v>
      </c>
      <c r="D8173" s="2">
        <v>1</v>
      </c>
      <c r="E8173" t="str">
        <f>"4574674200917870"</f>
        <v>4574674200917870</v>
      </c>
      <c r="F8173" t="str">
        <f>"973"</f>
        <v>973</v>
      </c>
      <c r="G8173">
        <v>1</v>
      </c>
      <c r="H8173">
        <v>2023</v>
      </c>
      <c r="I8173" t="s">
        <v>8288</v>
      </c>
    </row>
    <row r="8174" spans="1:9" x14ac:dyDescent="0.3">
      <c r="A8174" t="s">
        <v>10135</v>
      </c>
      <c r="B8174" t="s">
        <v>112</v>
      </c>
      <c r="C8174">
        <v>9406980470</v>
      </c>
      <c r="D8174" s="2">
        <v>1</v>
      </c>
      <c r="E8174" t="str">
        <f>"4574674200917565"</f>
        <v>4574674200917565</v>
      </c>
      <c r="F8174" t="str">
        <f>"724"</f>
        <v>724</v>
      </c>
      <c r="G8174">
        <v>1</v>
      </c>
      <c r="H8174">
        <v>2023</v>
      </c>
      <c r="I8174" t="s">
        <v>8289</v>
      </c>
    </row>
    <row r="8175" spans="1:9" x14ac:dyDescent="0.3">
      <c r="A8175" t="s">
        <v>10135</v>
      </c>
      <c r="B8175" t="s">
        <v>112</v>
      </c>
      <c r="C8175">
        <v>9406980470</v>
      </c>
      <c r="D8175" s="2">
        <v>1</v>
      </c>
      <c r="E8175" t="str">
        <f>"4574674200917953"</f>
        <v>4574674200917953</v>
      </c>
      <c r="F8175" t="str">
        <f>"976"</f>
        <v>976</v>
      </c>
      <c r="G8175">
        <v>1</v>
      </c>
      <c r="H8175">
        <v>2023</v>
      </c>
      <c r="I8175" t="s">
        <v>8290</v>
      </c>
    </row>
    <row r="8176" spans="1:9" x14ac:dyDescent="0.3">
      <c r="A8176" t="s">
        <v>10135</v>
      </c>
      <c r="B8176" t="s">
        <v>112</v>
      </c>
      <c r="C8176">
        <v>9406980470</v>
      </c>
      <c r="D8176" s="2">
        <v>1</v>
      </c>
      <c r="E8176" t="str">
        <f>"4574674200917920"</f>
        <v>4574674200917920</v>
      </c>
      <c r="F8176" t="str">
        <f>"794"</f>
        <v>794</v>
      </c>
      <c r="G8176">
        <v>1</v>
      </c>
      <c r="H8176">
        <v>2023</v>
      </c>
      <c r="I8176" t="s">
        <v>8291</v>
      </c>
    </row>
    <row r="8177" spans="1:9" x14ac:dyDescent="0.3">
      <c r="A8177" t="s">
        <v>10136</v>
      </c>
      <c r="B8177" t="s">
        <v>113</v>
      </c>
      <c r="C8177">
        <v>9406980470</v>
      </c>
      <c r="D8177" s="2">
        <v>1</v>
      </c>
      <c r="E8177" t="str">
        <f>"4574674200917961"</f>
        <v>4574674200917961</v>
      </c>
      <c r="F8177" t="str">
        <f>"842"</f>
        <v>842</v>
      </c>
      <c r="G8177">
        <v>1</v>
      </c>
      <c r="H8177">
        <v>2023</v>
      </c>
      <c r="I8177" t="s">
        <v>8292</v>
      </c>
    </row>
    <row r="8178" spans="1:9" x14ac:dyDescent="0.3">
      <c r="A8178" t="s">
        <v>10136</v>
      </c>
      <c r="B8178" t="s">
        <v>113</v>
      </c>
      <c r="C8178">
        <v>9406980470</v>
      </c>
      <c r="D8178" s="2">
        <v>1</v>
      </c>
      <c r="E8178" t="str">
        <f>"4574674200918241"</f>
        <v>4574674200918241</v>
      </c>
      <c r="F8178" t="str">
        <f>"531"</f>
        <v>531</v>
      </c>
      <c r="G8178">
        <v>1</v>
      </c>
      <c r="H8178">
        <v>2023</v>
      </c>
      <c r="I8178" t="s">
        <v>8293</v>
      </c>
    </row>
    <row r="8179" spans="1:9" x14ac:dyDescent="0.3">
      <c r="A8179" t="s">
        <v>10136</v>
      </c>
      <c r="B8179" t="s">
        <v>113</v>
      </c>
      <c r="C8179">
        <v>9406980470</v>
      </c>
      <c r="D8179" s="2">
        <v>1</v>
      </c>
      <c r="E8179" t="str">
        <f>"4574674200918274"</f>
        <v>4574674200918274</v>
      </c>
      <c r="F8179" t="str">
        <f>"735"</f>
        <v>735</v>
      </c>
      <c r="G8179">
        <v>1</v>
      </c>
      <c r="H8179">
        <v>2023</v>
      </c>
      <c r="I8179" t="s">
        <v>8294</v>
      </c>
    </row>
    <row r="8180" spans="1:9" x14ac:dyDescent="0.3">
      <c r="A8180" t="s">
        <v>10136</v>
      </c>
      <c r="B8180" t="s">
        <v>113</v>
      </c>
      <c r="C8180">
        <v>9406980470</v>
      </c>
      <c r="D8180" s="2">
        <v>1</v>
      </c>
      <c r="E8180" t="str">
        <f>"4574674200918282"</f>
        <v>4574674200918282</v>
      </c>
      <c r="F8180" t="str">
        <f>"991"</f>
        <v>991</v>
      </c>
      <c r="G8180">
        <v>1</v>
      </c>
      <c r="H8180">
        <v>2023</v>
      </c>
      <c r="I8180" t="s">
        <v>8295</v>
      </c>
    </row>
    <row r="8181" spans="1:9" x14ac:dyDescent="0.3">
      <c r="A8181" t="s">
        <v>10136</v>
      </c>
      <c r="B8181" t="s">
        <v>113</v>
      </c>
      <c r="C8181">
        <v>9406980470</v>
      </c>
      <c r="D8181" s="2">
        <v>1</v>
      </c>
      <c r="E8181" t="str">
        <f>"4574674200918324"</f>
        <v>4574674200918324</v>
      </c>
      <c r="F8181" t="str">
        <f>"521"</f>
        <v>521</v>
      </c>
      <c r="G8181">
        <v>1</v>
      </c>
      <c r="H8181">
        <v>2023</v>
      </c>
      <c r="I8181" t="s">
        <v>8296</v>
      </c>
    </row>
    <row r="8182" spans="1:9" x14ac:dyDescent="0.3">
      <c r="A8182" t="s">
        <v>10136</v>
      </c>
      <c r="B8182" t="s">
        <v>113</v>
      </c>
      <c r="C8182">
        <v>9406980470</v>
      </c>
      <c r="D8182" s="2">
        <v>1</v>
      </c>
      <c r="E8182" t="str">
        <f>"4574674200918290"</f>
        <v>4574674200918290</v>
      </c>
      <c r="F8182" t="str">
        <f>"810"</f>
        <v>810</v>
      </c>
      <c r="G8182">
        <v>1</v>
      </c>
      <c r="H8182">
        <v>2023</v>
      </c>
      <c r="I8182" t="s">
        <v>8297</v>
      </c>
    </row>
    <row r="8183" spans="1:9" x14ac:dyDescent="0.3">
      <c r="A8183" t="s">
        <v>10136</v>
      </c>
      <c r="B8183" t="s">
        <v>113</v>
      </c>
      <c r="C8183">
        <v>9406980470</v>
      </c>
      <c r="D8183" s="2">
        <v>1</v>
      </c>
      <c r="E8183" t="str">
        <f>"4574674200918076"</f>
        <v>4574674200918076</v>
      </c>
      <c r="F8183" t="str">
        <f>"235"</f>
        <v>235</v>
      </c>
      <c r="G8183">
        <v>1</v>
      </c>
      <c r="H8183">
        <v>2023</v>
      </c>
      <c r="I8183" t="s">
        <v>8298</v>
      </c>
    </row>
    <row r="8184" spans="1:9" x14ac:dyDescent="0.3">
      <c r="A8184" t="s">
        <v>10136</v>
      </c>
      <c r="B8184" t="s">
        <v>113</v>
      </c>
      <c r="C8184">
        <v>9406980470</v>
      </c>
      <c r="D8184" s="2">
        <v>1</v>
      </c>
      <c r="E8184" t="str">
        <f>"4574674200918084"</f>
        <v>4574674200918084</v>
      </c>
      <c r="F8184" t="str">
        <f>"911"</f>
        <v>911</v>
      </c>
      <c r="G8184">
        <v>1</v>
      </c>
      <c r="H8184">
        <v>2023</v>
      </c>
      <c r="I8184" t="s">
        <v>8299</v>
      </c>
    </row>
    <row r="8185" spans="1:9" x14ac:dyDescent="0.3">
      <c r="A8185" t="s">
        <v>10136</v>
      </c>
      <c r="B8185" t="s">
        <v>113</v>
      </c>
      <c r="C8185">
        <v>9406980470</v>
      </c>
      <c r="D8185" s="2">
        <v>1</v>
      </c>
      <c r="E8185" t="str">
        <f>"4574674200918415"</f>
        <v>4574674200918415</v>
      </c>
      <c r="F8185" t="str">
        <f>"230"</f>
        <v>230</v>
      </c>
      <c r="G8185">
        <v>1</v>
      </c>
      <c r="H8185">
        <v>2023</v>
      </c>
      <c r="I8185" t="s">
        <v>8300</v>
      </c>
    </row>
    <row r="8186" spans="1:9" x14ac:dyDescent="0.3">
      <c r="A8186" t="s">
        <v>10136</v>
      </c>
      <c r="B8186" t="s">
        <v>113</v>
      </c>
      <c r="C8186">
        <v>9406980470</v>
      </c>
      <c r="D8186" s="2">
        <v>1</v>
      </c>
      <c r="E8186" t="str">
        <f>"4574674200918431"</f>
        <v>4574674200918431</v>
      </c>
      <c r="F8186" t="str">
        <f>"225"</f>
        <v>225</v>
      </c>
      <c r="G8186">
        <v>1</v>
      </c>
      <c r="H8186">
        <v>2023</v>
      </c>
      <c r="I8186" t="s">
        <v>8301</v>
      </c>
    </row>
    <row r="8187" spans="1:9" x14ac:dyDescent="0.3">
      <c r="A8187" t="s">
        <v>10137</v>
      </c>
      <c r="B8187" t="s">
        <v>114</v>
      </c>
      <c r="C8187">
        <v>9406980470</v>
      </c>
      <c r="D8187" s="2">
        <v>1</v>
      </c>
      <c r="E8187" t="str">
        <f>"4574674200918456"</f>
        <v>4574674200918456</v>
      </c>
      <c r="F8187" t="str">
        <f>"510"</f>
        <v>510</v>
      </c>
      <c r="G8187">
        <v>1</v>
      </c>
      <c r="H8187">
        <v>2023</v>
      </c>
      <c r="I8187" t="s">
        <v>8302</v>
      </c>
    </row>
    <row r="8188" spans="1:9" x14ac:dyDescent="0.3">
      <c r="A8188" t="s">
        <v>10137</v>
      </c>
      <c r="B8188" t="s">
        <v>114</v>
      </c>
      <c r="C8188">
        <v>9406980470</v>
      </c>
      <c r="D8188" s="2">
        <v>1</v>
      </c>
      <c r="E8188" t="str">
        <f>"4574674200918449"</f>
        <v>4574674200918449</v>
      </c>
      <c r="F8188" t="str">
        <f>"163"</f>
        <v>163</v>
      </c>
      <c r="G8188">
        <v>1</v>
      </c>
      <c r="H8188">
        <v>2023</v>
      </c>
      <c r="I8188" t="s">
        <v>8303</v>
      </c>
    </row>
    <row r="8189" spans="1:9" x14ac:dyDescent="0.3">
      <c r="A8189" t="s">
        <v>10137</v>
      </c>
      <c r="B8189" t="s">
        <v>114</v>
      </c>
      <c r="C8189">
        <v>9406980470</v>
      </c>
      <c r="D8189" s="2">
        <v>1</v>
      </c>
      <c r="E8189" t="str">
        <f>"4574674200918464"</f>
        <v>4574674200918464</v>
      </c>
      <c r="F8189" t="str">
        <f>"941"</f>
        <v>941</v>
      </c>
      <c r="G8189">
        <v>1</v>
      </c>
      <c r="H8189">
        <v>2023</v>
      </c>
      <c r="I8189" t="s">
        <v>8304</v>
      </c>
    </row>
    <row r="8190" spans="1:9" x14ac:dyDescent="0.3">
      <c r="A8190" t="s">
        <v>10137</v>
      </c>
      <c r="B8190" t="s">
        <v>114</v>
      </c>
      <c r="C8190">
        <v>9406980470</v>
      </c>
      <c r="D8190" s="2">
        <v>1</v>
      </c>
      <c r="E8190" t="str">
        <f>"4574674200918571"</f>
        <v>4574674200918571</v>
      </c>
      <c r="F8190" t="str">
        <f>"722"</f>
        <v>722</v>
      </c>
      <c r="G8190">
        <v>1</v>
      </c>
      <c r="H8190">
        <v>2023</v>
      </c>
      <c r="I8190" t="s">
        <v>8305</v>
      </c>
    </row>
    <row r="8191" spans="1:9" x14ac:dyDescent="0.3">
      <c r="A8191" t="s">
        <v>10137</v>
      </c>
      <c r="B8191" t="s">
        <v>114</v>
      </c>
      <c r="C8191">
        <v>9406980470</v>
      </c>
      <c r="D8191" s="2">
        <v>1</v>
      </c>
      <c r="E8191" t="str">
        <f>"4574674200918597"</f>
        <v>4574674200918597</v>
      </c>
      <c r="F8191" t="str">
        <f>"934"</f>
        <v>934</v>
      </c>
      <c r="G8191">
        <v>1</v>
      </c>
      <c r="H8191">
        <v>2023</v>
      </c>
      <c r="I8191" t="s">
        <v>8306</v>
      </c>
    </row>
    <row r="8192" spans="1:9" x14ac:dyDescent="0.3">
      <c r="A8192" t="s">
        <v>10137</v>
      </c>
      <c r="B8192" t="s">
        <v>114</v>
      </c>
      <c r="C8192">
        <v>9406980470</v>
      </c>
      <c r="D8192" s="2">
        <v>1</v>
      </c>
      <c r="E8192" t="str">
        <f>"4574674200918191"</f>
        <v>4574674200918191</v>
      </c>
      <c r="F8192" t="str">
        <f>"277"</f>
        <v>277</v>
      </c>
      <c r="G8192">
        <v>1</v>
      </c>
      <c r="H8192">
        <v>2023</v>
      </c>
      <c r="I8192" t="s">
        <v>8307</v>
      </c>
    </row>
    <row r="8193" spans="1:9" x14ac:dyDescent="0.3">
      <c r="A8193" t="s">
        <v>10137</v>
      </c>
      <c r="B8193" t="s">
        <v>114</v>
      </c>
      <c r="C8193">
        <v>9406980470</v>
      </c>
      <c r="D8193" s="2">
        <v>1</v>
      </c>
      <c r="E8193" t="str">
        <f>"4574674200918613"</f>
        <v>4574674200918613</v>
      </c>
      <c r="F8193" t="str">
        <f>"675"</f>
        <v>675</v>
      </c>
      <c r="G8193">
        <v>1</v>
      </c>
      <c r="H8193">
        <v>2023</v>
      </c>
      <c r="I8193" t="s">
        <v>8308</v>
      </c>
    </row>
    <row r="8194" spans="1:9" x14ac:dyDescent="0.3">
      <c r="A8194" t="s">
        <v>10137</v>
      </c>
      <c r="B8194" t="s">
        <v>114</v>
      </c>
      <c r="C8194">
        <v>9406980470</v>
      </c>
      <c r="D8194" s="2">
        <v>1</v>
      </c>
      <c r="E8194" t="str">
        <f>"4574674200918845"</f>
        <v>4574674200918845</v>
      </c>
      <c r="F8194" t="str">
        <f>"151"</f>
        <v>151</v>
      </c>
      <c r="G8194">
        <v>1</v>
      </c>
      <c r="H8194">
        <v>2023</v>
      </c>
      <c r="I8194" t="s">
        <v>8309</v>
      </c>
    </row>
    <row r="8195" spans="1:9" x14ac:dyDescent="0.3">
      <c r="A8195" t="s">
        <v>10137</v>
      </c>
      <c r="B8195" t="s">
        <v>114</v>
      </c>
      <c r="C8195">
        <v>9406980470</v>
      </c>
      <c r="D8195" s="2">
        <v>1</v>
      </c>
      <c r="E8195" t="str">
        <f>"4574674200918837"</f>
        <v>4574674200918837</v>
      </c>
      <c r="F8195" t="str">
        <f>"877"</f>
        <v>877</v>
      </c>
      <c r="G8195">
        <v>1</v>
      </c>
      <c r="H8195">
        <v>2023</v>
      </c>
      <c r="I8195" t="s">
        <v>8310</v>
      </c>
    </row>
    <row r="8196" spans="1:9" x14ac:dyDescent="0.3">
      <c r="A8196" t="s">
        <v>10137</v>
      </c>
      <c r="B8196" t="s">
        <v>114</v>
      </c>
      <c r="C8196">
        <v>9406980470</v>
      </c>
      <c r="D8196" s="2">
        <v>1</v>
      </c>
      <c r="E8196" t="str">
        <f>"4574674200918860"</f>
        <v>4574674200918860</v>
      </c>
      <c r="F8196" t="str">
        <f>"474"</f>
        <v>474</v>
      </c>
      <c r="G8196">
        <v>1</v>
      </c>
      <c r="H8196">
        <v>2023</v>
      </c>
      <c r="I8196" t="s">
        <v>8311</v>
      </c>
    </row>
    <row r="8197" spans="1:9" x14ac:dyDescent="0.3">
      <c r="A8197" t="s">
        <v>10138</v>
      </c>
      <c r="B8197" t="s">
        <v>115</v>
      </c>
      <c r="C8197">
        <v>9406980470</v>
      </c>
      <c r="D8197" s="2">
        <v>1</v>
      </c>
      <c r="E8197" t="str">
        <f>"4574674200918944"</f>
        <v>4574674200918944</v>
      </c>
      <c r="F8197" t="str">
        <f>"796"</f>
        <v>796</v>
      </c>
      <c r="G8197">
        <v>1</v>
      </c>
      <c r="H8197">
        <v>2023</v>
      </c>
      <c r="I8197" t="s">
        <v>8312</v>
      </c>
    </row>
    <row r="8198" spans="1:9" x14ac:dyDescent="0.3">
      <c r="A8198" t="s">
        <v>10138</v>
      </c>
      <c r="B8198" t="s">
        <v>115</v>
      </c>
      <c r="C8198">
        <v>9406980470</v>
      </c>
      <c r="D8198" s="2">
        <v>1</v>
      </c>
      <c r="E8198" t="str">
        <f>"4574674200918951"</f>
        <v>4574674200918951</v>
      </c>
      <c r="F8198" t="str">
        <f>"617"</f>
        <v>617</v>
      </c>
      <c r="G8198">
        <v>1</v>
      </c>
      <c r="H8198">
        <v>2023</v>
      </c>
      <c r="I8198" t="s">
        <v>8313</v>
      </c>
    </row>
    <row r="8199" spans="1:9" x14ac:dyDescent="0.3">
      <c r="A8199" t="s">
        <v>10138</v>
      </c>
      <c r="B8199" t="s">
        <v>115</v>
      </c>
      <c r="C8199">
        <v>9406980470</v>
      </c>
      <c r="D8199" s="2">
        <v>1</v>
      </c>
      <c r="E8199" t="str">
        <f>"4574674200918969"</f>
        <v>4574674200918969</v>
      </c>
      <c r="F8199" t="str">
        <f>"626"</f>
        <v>626</v>
      </c>
      <c r="G8199">
        <v>1</v>
      </c>
      <c r="H8199">
        <v>2023</v>
      </c>
      <c r="I8199" t="s">
        <v>8314</v>
      </c>
    </row>
    <row r="8200" spans="1:9" x14ac:dyDescent="0.3">
      <c r="A8200" t="s">
        <v>10138</v>
      </c>
      <c r="B8200" t="s">
        <v>115</v>
      </c>
      <c r="C8200">
        <v>9406980470</v>
      </c>
      <c r="D8200" s="2">
        <v>1</v>
      </c>
      <c r="E8200" t="str">
        <f>"4574674200918704"</f>
        <v>4574674200918704</v>
      </c>
      <c r="F8200" t="str">
        <f>"531"</f>
        <v>531</v>
      </c>
      <c r="G8200">
        <v>1</v>
      </c>
      <c r="H8200">
        <v>2023</v>
      </c>
      <c r="I8200" t="s">
        <v>8315</v>
      </c>
    </row>
    <row r="8201" spans="1:9" x14ac:dyDescent="0.3">
      <c r="A8201" t="s">
        <v>10138</v>
      </c>
      <c r="B8201" t="s">
        <v>115</v>
      </c>
      <c r="C8201">
        <v>9406980470</v>
      </c>
      <c r="D8201" s="2">
        <v>1</v>
      </c>
      <c r="E8201" t="str">
        <f>"4574674200919058"</f>
        <v>4574674200919058</v>
      </c>
      <c r="F8201" t="str">
        <f>"973"</f>
        <v>973</v>
      </c>
      <c r="G8201">
        <v>1</v>
      </c>
      <c r="H8201">
        <v>2023</v>
      </c>
      <c r="I8201" t="s">
        <v>8316</v>
      </c>
    </row>
    <row r="8202" spans="1:9" x14ac:dyDescent="0.3">
      <c r="A8202" t="s">
        <v>10138</v>
      </c>
      <c r="B8202" t="s">
        <v>115</v>
      </c>
      <c r="C8202">
        <v>9406980470</v>
      </c>
      <c r="D8202" s="2">
        <v>1</v>
      </c>
      <c r="E8202" t="str">
        <f>"4574674200919041"</f>
        <v>4574674200919041</v>
      </c>
      <c r="F8202" t="str">
        <f>"496"</f>
        <v>496</v>
      </c>
      <c r="G8202">
        <v>1</v>
      </c>
      <c r="H8202">
        <v>2023</v>
      </c>
      <c r="I8202" t="s">
        <v>8317</v>
      </c>
    </row>
    <row r="8203" spans="1:9" x14ac:dyDescent="0.3">
      <c r="A8203" t="s">
        <v>10138</v>
      </c>
      <c r="B8203" t="s">
        <v>115</v>
      </c>
      <c r="C8203">
        <v>9406980470</v>
      </c>
      <c r="D8203" s="2">
        <v>1</v>
      </c>
      <c r="E8203" t="str">
        <f>"4574674200919082"</f>
        <v>4574674200919082</v>
      </c>
      <c r="F8203" t="str">
        <f>"183"</f>
        <v>183</v>
      </c>
      <c r="G8203">
        <v>1</v>
      </c>
      <c r="H8203">
        <v>2023</v>
      </c>
      <c r="I8203" t="s">
        <v>8318</v>
      </c>
    </row>
    <row r="8204" spans="1:9" x14ac:dyDescent="0.3">
      <c r="A8204" t="s">
        <v>10138</v>
      </c>
      <c r="B8204" t="s">
        <v>115</v>
      </c>
      <c r="C8204">
        <v>9406980470</v>
      </c>
      <c r="D8204" s="2">
        <v>1</v>
      </c>
      <c r="E8204" t="str">
        <f>"4574674200918738"</f>
        <v>4574674200918738</v>
      </c>
      <c r="F8204" t="str">
        <f>"368"</f>
        <v>368</v>
      </c>
      <c r="G8204">
        <v>1</v>
      </c>
      <c r="H8204">
        <v>2023</v>
      </c>
      <c r="I8204" t="s">
        <v>8319</v>
      </c>
    </row>
    <row r="8205" spans="1:9" x14ac:dyDescent="0.3">
      <c r="A8205" t="s">
        <v>10138</v>
      </c>
      <c r="B8205" t="s">
        <v>115</v>
      </c>
      <c r="C8205">
        <v>9406980470</v>
      </c>
      <c r="D8205" s="2">
        <v>1</v>
      </c>
      <c r="E8205" t="str">
        <f>"4574674200919116"</f>
        <v>4574674200919116</v>
      </c>
      <c r="F8205" t="str">
        <f>"690"</f>
        <v>690</v>
      </c>
      <c r="G8205">
        <v>1</v>
      </c>
      <c r="H8205">
        <v>2023</v>
      </c>
      <c r="I8205" t="s">
        <v>8320</v>
      </c>
    </row>
    <row r="8206" spans="1:9" x14ac:dyDescent="0.3">
      <c r="A8206" t="s">
        <v>10138</v>
      </c>
      <c r="B8206" t="s">
        <v>115</v>
      </c>
      <c r="C8206">
        <v>9406980470</v>
      </c>
      <c r="D8206" s="2">
        <v>1</v>
      </c>
      <c r="E8206" t="str">
        <f>"4574674200919132"</f>
        <v>4574674200919132</v>
      </c>
      <c r="F8206" t="str">
        <f>"119"</f>
        <v>119</v>
      </c>
      <c r="G8206">
        <v>1</v>
      </c>
      <c r="H8206">
        <v>2023</v>
      </c>
      <c r="I8206" t="s">
        <v>8321</v>
      </c>
    </row>
    <row r="8207" spans="1:9" x14ac:dyDescent="0.3">
      <c r="A8207" t="s">
        <v>10139</v>
      </c>
      <c r="B8207" t="s">
        <v>116</v>
      </c>
      <c r="C8207">
        <v>9406980470</v>
      </c>
      <c r="D8207" s="2">
        <v>1</v>
      </c>
      <c r="E8207" t="str">
        <f>"4574674200919181"</f>
        <v>4574674200919181</v>
      </c>
      <c r="F8207" t="str">
        <f>"216"</f>
        <v>216</v>
      </c>
      <c r="G8207">
        <v>1</v>
      </c>
      <c r="H8207">
        <v>2023</v>
      </c>
      <c r="I8207" t="s">
        <v>8322</v>
      </c>
    </row>
    <row r="8208" spans="1:9" x14ac:dyDescent="0.3">
      <c r="A8208" t="s">
        <v>10139</v>
      </c>
      <c r="B8208" t="s">
        <v>116</v>
      </c>
      <c r="C8208">
        <v>9406980470</v>
      </c>
      <c r="D8208" s="2">
        <v>1</v>
      </c>
      <c r="E8208" t="str">
        <f>"4574674200919173"</f>
        <v>4574674200919173</v>
      </c>
      <c r="F8208" t="str">
        <f>"661"</f>
        <v>661</v>
      </c>
      <c r="G8208">
        <v>1</v>
      </c>
      <c r="H8208">
        <v>2023</v>
      </c>
      <c r="I8208" t="s">
        <v>8323</v>
      </c>
    </row>
    <row r="8209" spans="1:9" x14ac:dyDescent="0.3">
      <c r="A8209" t="s">
        <v>10139</v>
      </c>
      <c r="B8209" t="s">
        <v>116</v>
      </c>
      <c r="C8209">
        <v>9406980470</v>
      </c>
      <c r="D8209" s="2">
        <v>1</v>
      </c>
      <c r="E8209" t="str">
        <f>"4574674200919231"</f>
        <v>4574674200919231</v>
      </c>
      <c r="F8209" t="str">
        <f>"974"</f>
        <v>974</v>
      </c>
      <c r="G8209">
        <v>1</v>
      </c>
      <c r="H8209">
        <v>2023</v>
      </c>
      <c r="I8209" t="s">
        <v>8324</v>
      </c>
    </row>
    <row r="8210" spans="1:9" x14ac:dyDescent="0.3">
      <c r="A8210" t="s">
        <v>10139</v>
      </c>
      <c r="B8210" t="s">
        <v>116</v>
      </c>
      <c r="C8210">
        <v>9406980470</v>
      </c>
      <c r="D8210" s="2">
        <v>1</v>
      </c>
      <c r="E8210" t="str">
        <f>"4574674200919249"</f>
        <v>4574674200919249</v>
      </c>
      <c r="F8210" t="str">
        <f>"095"</f>
        <v>095</v>
      </c>
      <c r="G8210">
        <v>1</v>
      </c>
      <c r="H8210">
        <v>2023</v>
      </c>
      <c r="I8210" t="s">
        <v>8325</v>
      </c>
    </row>
    <row r="8211" spans="1:9" x14ac:dyDescent="0.3">
      <c r="A8211" t="s">
        <v>10139</v>
      </c>
      <c r="B8211" t="s">
        <v>116</v>
      </c>
      <c r="C8211">
        <v>9406980470</v>
      </c>
      <c r="D8211" s="2">
        <v>1</v>
      </c>
      <c r="E8211" t="str">
        <f>"4574674200919470"</f>
        <v>4574674200919470</v>
      </c>
      <c r="F8211" t="str">
        <f>"759"</f>
        <v>759</v>
      </c>
      <c r="G8211">
        <v>1</v>
      </c>
      <c r="H8211">
        <v>2023</v>
      </c>
      <c r="I8211" t="s">
        <v>8326</v>
      </c>
    </row>
    <row r="8212" spans="1:9" x14ac:dyDescent="0.3">
      <c r="A8212" t="s">
        <v>10139</v>
      </c>
      <c r="B8212" t="s">
        <v>116</v>
      </c>
      <c r="C8212">
        <v>9406980470</v>
      </c>
      <c r="D8212" s="2">
        <v>1</v>
      </c>
      <c r="E8212" t="str">
        <f>"4574674200919496"</f>
        <v>4574674200919496</v>
      </c>
      <c r="F8212" t="str">
        <f>"272"</f>
        <v>272</v>
      </c>
      <c r="G8212">
        <v>1</v>
      </c>
      <c r="H8212">
        <v>2023</v>
      </c>
      <c r="I8212" t="s">
        <v>8327</v>
      </c>
    </row>
    <row r="8213" spans="1:9" x14ac:dyDescent="0.3">
      <c r="A8213" t="s">
        <v>10139</v>
      </c>
      <c r="B8213" t="s">
        <v>116</v>
      </c>
      <c r="C8213">
        <v>9406980470</v>
      </c>
      <c r="D8213" s="2">
        <v>1</v>
      </c>
      <c r="E8213" t="str">
        <f>"4574674200919512"</f>
        <v>4574674200919512</v>
      </c>
      <c r="F8213" t="str">
        <f>"935"</f>
        <v>935</v>
      </c>
      <c r="G8213">
        <v>1</v>
      </c>
      <c r="H8213">
        <v>2023</v>
      </c>
      <c r="I8213" t="s">
        <v>8328</v>
      </c>
    </row>
    <row r="8214" spans="1:9" x14ac:dyDescent="0.3">
      <c r="A8214" t="s">
        <v>10139</v>
      </c>
      <c r="B8214" t="s">
        <v>116</v>
      </c>
      <c r="C8214">
        <v>9406980470</v>
      </c>
      <c r="D8214" s="2">
        <v>1</v>
      </c>
      <c r="E8214" t="str">
        <f>"4574674200919355"</f>
        <v>4574674200919355</v>
      </c>
      <c r="F8214" t="str">
        <f>"144"</f>
        <v>144</v>
      </c>
      <c r="G8214">
        <v>1</v>
      </c>
      <c r="H8214">
        <v>2023</v>
      </c>
      <c r="I8214" t="s">
        <v>8329</v>
      </c>
    </row>
    <row r="8215" spans="1:9" x14ac:dyDescent="0.3">
      <c r="A8215" t="s">
        <v>10139</v>
      </c>
      <c r="B8215" t="s">
        <v>116</v>
      </c>
      <c r="C8215">
        <v>9406980470</v>
      </c>
      <c r="D8215" s="2">
        <v>1</v>
      </c>
      <c r="E8215" t="str">
        <f>"4574674200919363"</f>
        <v>4574674200919363</v>
      </c>
      <c r="F8215" t="str">
        <f>"168"</f>
        <v>168</v>
      </c>
      <c r="G8215">
        <v>1</v>
      </c>
      <c r="H8215">
        <v>2023</v>
      </c>
      <c r="I8215" t="s">
        <v>8330</v>
      </c>
    </row>
    <row r="8216" spans="1:9" x14ac:dyDescent="0.3">
      <c r="A8216" t="s">
        <v>10117</v>
      </c>
      <c r="B8216" t="s">
        <v>9</v>
      </c>
      <c r="C8216">
        <v>7648876604</v>
      </c>
      <c r="D8216" s="2">
        <v>1</v>
      </c>
      <c r="E8216" t="str">
        <f>"4574674200919652"</f>
        <v>4574674200919652</v>
      </c>
      <c r="F8216" t="str">
        <f>"833"</f>
        <v>833</v>
      </c>
      <c r="G8216">
        <v>1</v>
      </c>
      <c r="H8216">
        <v>2023</v>
      </c>
      <c r="I8216" t="s">
        <v>8331</v>
      </c>
    </row>
    <row r="8217" spans="1:9" x14ac:dyDescent="0.3">
      <c r="A8217" t="s">
        <v>10117</v>
      </c>
      <c r="B8217" t="s">
        <v>9</v>
      </c>
      <c r="C8217">
        <v>7648876604</v>
      </c>
      <c r="D8217" s="2">
        <v>1</v>
      </c>
      <c r="E8217" t="str">
        <f>"4574674200919645"</f>
        <v>4574674200919645</v>
      </c>
      <c r="F8217" t="str">
        <f>"637"</f>
        <v>637</v>
      </c>
      <c r="G8217">
        <v>1</v>
      </c>
      <c r="H8217">
        <v>2023</v>
      </c>
      <c r="I8217" t="s">
        <v>8332</v>
      </c>
    </row>
    <row r="8218" spans="1:9" x14ac:dyDescent="0.3">
      <c r="A8218" t="s">
        <v>10117</v>
      </c>
      <c r="B8218" t="s">
        <v>9</v>
      </c>
      <c r="C8218">
        <v>7648876604</v>
      </c>
      <c r="D8218" s="2">
        <v>1</v>
      </c>
      <c r="E8218" t="str">
        <f>"4574674200919660"</f>
        <v>4574674200919660</v>
      </c>
      <c r="F8218" t="str">
        <f>"664"</f>
        <v>664</v>
      </c>
      <c r="G8218">
        <v>1</v>
      </c>
      <c r="H8218">
        <v>2023</v>
      </c>
      <c r="I8218" t="s">
        <v>8333</v>
      </c>
    </row>
    <row r="8219" spans="1:9" x14ac:dyDescent="0.3">
      <c r="A8219" t="s">
        <v>10117</v>
      </c>
      <c r="B8219" t="s">
        <v>9</v>
      </c>
      <c r="C8219">
        <v>7648876604</v>
      </c>
      <c r="D8219" s="2">
        <v>1</v>
      </c>
      <c r="E8219" t="str">
        <f>"4574674200919678"</f>
        <v>4574674200919678</v>
      </c>
      <c r="F8219" t="str">
        <f>"491"</f>
        <v>491</v>
      </c>
      <c r="G8219">
        <v>1</v>
      </c>
      <c r="H8219">
        <v>2023</v>
      </c>
      <c r="I8219" t="s">
        <v>8334</v>
      </c>
    </row>
    <row r="8220" spans="1:9" x14ac:dyDescent="0.3">
      <c r="A8220" t="s">
        <v>10117</v>
      </c>
      <c r="B8220" t="s">
        <v>9</v>
      </c>
      <c r="C8220">
        <v>7648876604</v>
      </c>
      <c r="D8220" s="2">
        <v>1</v>
      </c>
      <c r="E8220" t="str">
        <f>"4574674200919736"</f>
        <v>4574674200919736</v>
      </c>
      <c r="F8220" t="str">
        <f>"913"</f>
        <v>913</v>
      </c>
      <c r="G8220">
        <v>1</v>
      </c>
      <c r="H8220">
        <v>2023</v>
      </c>
      <c r="I8220" t="s">
        <v>8335</v>
      </c>
    </row>
    <row r="8221" spans="1:9" x14ac:dyDescent="0.3">
      <c r="A8221" t="s">
        <v>10117</v>
      </c>
      <c r="B8221" t="s">
        <v>9</v>
      </c>
      <c r="C8221">
        <v>7648876604</v>
      </c>
      <c r="D8221" s="2">
        <v>1</v>
      </c>
      <c r="E8221" t="str">
        <f>"4574674200920007"</f>
        <v>4574674200920007</v>
      </c>
      <c r="F8221" t="str">
        <f>"105"</f>
        <v>105</v>
      </c>
      <c r="G8221">
        <v>1</v>
      </c>
      <c r="H8221">
        <v>2023</v>
      </c>
      <c r="I8221" t="s">
        <v>8336</v>
      </c>
    </row>
    <row r="8222" spans="1:9" x14ac:dyDescent="0.3">
      <c r="A8222" t="s">
        <v>10117</v>
      </c>
      <c r="B8222" t="s">
        <v>9</v>
      </c>
      <c r="C8222">
        <v>7648876604</v>
      </c>
      <c r="D8222" s="2">
        <v>1</v>
      </c>
      <c r="E8222" t="str">
        <f>"4574674200920015"</f>
        <v>4574674200920015</v>
      </c>
      <c r="F8222" t="str">
        <f>"798"</f>
        <v>798</v>
      </c>
      <c r="G8222">
        <v>1</v>
      </c>
      <c r="H8222">
        <v>2023</v>
      </c>
      <c r="I8222" t="s">
        <v>8337</v>
      </c>
    </row>
    <row r="8223" spans="1:9" x14ac:dyDescent="0.3">
      <c r="A8223" t="s">
        <v>10117</v>
      </c>
      <c r="B8223" t="s">
        <v>9</v>
      </c>
      <c r="C8223">
        <v>7648876604</v>
      </c>
      <c r="D8223" s="2">
        <v>1</v>
      </c>
      <c r="E8223" t="str">
        <f>"4574674200920056"</f>
        <v>4574674200920056</v>
      </c>
      <c r="F8223" t="str">
        <f>"136"</f>
        <v>136</v>
      </c>
      <c r="G8223">
        <v>1</v>
      </c>
      <c r="H8223">
        <v>2023</v>
      </c>
      <c r="I8223" t="s">
        <v>8338</v>
      </c>
    </row>
    <row r="8224" spans="1:9" x14ac:dyDescent="0.3">
      <c r="A8224" t="s">
        <v>10117</v>
      </c>
      <c r="B8224" t="s">
        <v>9</v>
      </c>
      <c r="C8224">
        <v>7648876604</v>
      </c>
      <c r="D8224" s="2">
        <v>1</v>
      </c>
      <c r="E8224" t="str">
        <f>"4574674200920072"</f>
        <v>4574674200920072</v>
      </c>
      <c r="F8224" t="str">
        <f>"456"</f>
        <v>456</v>
      </c>
      <c r="G8224">
        <v>1</v>
      </c>
      <c r="H8224">
        <v>2023</v>
      </c>
      <c r="I8224" t="s">
        <v>8339</v>
      </c>
    </row>
    <row r="8225" spans="1:9" x14ac:dyDescent="0.3">
      <c r="A8225" t="s">
        <v>10117</v>
      </c>
      <c r="B8225" t="s">
        <v>9</v>
      </c>
      <c r="C8225">
        <v>7648876604</v>
      </c>
      <c r="D8225" s="2">
        <v>1</v>
      </c>
      <c r="E8225" t="str">
        <f>"4574674200920080"</f>
        <v>4574674200920080</v>
      </c>
      <c r="F8225" t="str">
        <f>"515"</f>
        <v>515</v>
      </c>
      <c r="G8225">
        <v>1</v>
      </c>
      <c r="H8225">
        <v>2023</v>
      </c>
      <c r="I8225" t="s">
        <v>8340</v>
      </c>
    </row>
    <row r="8226" spans="1:9" x14ac:dyDescent="0.3">
      <c r="A8226" t="s">
        <v>10118</v>
      </c>
      <c r="B8226" t="s">
        <v>10</v>
      </c>
      <c r="C8226">
        <v>7648876604</v>
      </c>
      <c r="D8226" s="2">
        <v>1</v>
      </c>
      <c r="E8226" t="str">
        <f>"4574674200919876"</f>
        <v>4574674200919876</v>
      </c>
      <c r="F8226" t="str">
        <f>"632"</f>
        <v>632</v>
      </c>
      <c r="G8226">
        <v>1</v>
      </c>
      <c r="H8226">
        <v>2023</v>
      </c>
      <c r="I8226" t="s">
        <v>8341</v>
      </c>
    </row>
    <row r="8227" spans="1:9" x14ac:dyDescent="0.3">
      <c r="A8227" t="s">
        <v>10118</v>
      </c>
      <c r="B8227" t="s">
        <v>10</v>
      </c>
      <c r="C8227">
        <v>7648876604</v>
      </c>
      <c r="D8227" s="2">
        <v>1</v>
      </c>
      <c r="E8227" t="str">
        <f>"4574674200920163"</f>
        <v>4574674200920163</v>
      </c>
      <c r="F8227" t="str">
        <f>"597"</f>
        <v>597</v>
      </c>
      <c r="G8227">
        <v>1</v>
      </c>
      <c r="H8227">
        <v>2023</v>
      </c>
      <c r="I8227" t="s">
        <v>8342</v>
      </c>
    </row>
    <row r="8228" spans="1:9" x14ac:dyDescent="0.3">
      <c r="A8228" t="s">
        <v>10118</v>
      </c>
      <c r="B8228" t="s">
        <v>10</v>
      </c>
      <c r="C8228">
        <v>7648876604</v>
      </c>
      <c r="D8228" s="2">
        <v>1</v>
      </c>
      <c r="E8228" t="str">
        <f>"4574674200920155"</f>
        <v>4574674200920155</v>
      </c>
      <c r="F8228" t="str">
        <f>"808"</f>
        <v>808</v>
      </c>
      <c r="G8228">
        <v>1</v>
      </c>
      <c r="H8228">
        <v>2023</v>
      </c>
      <c r="I8228" t="s">
        <v>8343</v>
      </c>
    </row>
    <row r="8229" spans="1:9" x14ac:dyDescent="0.3">
      <c r="A8229" t="s">
        <v>10118</v>
      </c>
      <c r="B8229" t="s">
        <v>10</v>
      </c>
      <c r="C8229">
        <v>7648876604</v>
      </c>
      <c r="D8229" s="2">
        <v>1</v>
      </c>
      <c r="E8229" t="str">
        <f>"4574674200920213"</f>
        <v>4574674200920213</v>
      </c>
      <c r="F8229" t="str">
        <f>"552"</f>
        <v>552</v>
      </c>
      <c r="G8229">
        <v>1</v>
      </c>
      <c r="H8229">
        <v>2023</v>
      </c>
      <c r="I8229" t="s">
        <v>8344</v>
      </c>
    </row>
    <row r="8230" spans="1:9" x14ac:dyDescent="0.3">
      <c r="A8230" t="s">
        <v>10118</v>
      </c>
      <c r="B8230" t="s">
        <v>10</v>
      </c>
      <c r="C8230">
        <v>7648876604</v>
      </c>
      <c r="D8230" s="2">
        <v>1</v>
      </c>
      <c r="E8230" t="str">
        <f>"4574674200920221"</f>
        <v>4574674200920221</v>
      </c>
      <c r="F8230" t="str">
        <f>"286"</f>
        <v>286</v>
      </c>
      <c r="G8230">
        <v>1</v>
      </c>
      <c r="H8230">
        <v>2023</v>
      </c>
      <c r="I8230" t="s">
        <v>8345</v>
      </c>
    </row>
    <row r="8231" spans="1:9" x14ac:dyDescent="0.3">
      <c r="A8231" t="s">
        <v>10118</v>
      </c>
      <c r="B8231" t="s">
        <v>10</v>
      </c>
      <c r="C8231">
        <v>7648876604</v>
      </c>
      <c r="D8231" s="2">
        <v>1</v>
      </c>
      <c r="E8231" t="str">
        <f>"4574674200920247"</f>
        <v>4574674200920247</v>
      </c>
      <c r="F8231" t="str">
        <f>"869"</f>
        <v>869</v>
      </c>
      <c r="G8231">
        <v>1</v>
      </c>
      <c r="H8231">
        <v>2023</v>
      </c>
      <c r="I8231" t="s">
        <v>8346</v>
      </c>
    </row>
    <row r="8232" spans="1:9" x14ac:dyDescent="0.3">
      <c r="A8232" t="s">
        <v>10118</v>
      </c>
      <c r="B8232" t="s">
        <v>10</v>
      </c>
      <c r="C8232">
        <v>7648876604</v>
      </c>
      <c r="D8232" s="2">
        <v>1</v>
      </c>
      <c r="E8232" t="str">
        <f>"4574674200920403"</f>
        <v>4574674200920403</v>
      </c>
      <c r="F8232" t="str">
        <f>"256"</f>
        <v>256</v>
      </c>
      <c r="G8232">
        <v>1</v>
      </c>
      <c r="H8232">
        <v>2023</v>
      </c>
      <c r="I8232" t="s">
        <v>8347</v>
      </c>
    </row>
    <row r="8233" spans="1:9" x14ac:dyDescent="0.3">
      <c r="A8233" t="s">
        <v>10118</v>
      </c>
      <c r="B8233" t="s">
        <v>10</v>
      </c>
      <c r="C8233">
        <v>7648876604</v>
      </c>
      <c r="D8233" s="2">
        <v>1</v>
      </c>
      <c r="E8233" t="str">
        <f>"4574674200920346"</f>
        <v>4574674200920346</v>
      </c>
      <c r="F8233" t="str">
        <f>"513"</f>
        <v>513</v>
      </c>
      <c r="G8233">
        <v>1</v>
      </c>
      <c r="H8233">
        <v>2023</v>
      </c>
      <c r="I8233" t="s">
        <v>8348</v>
      </c>
    </row>
    <row r="8234" spans="1:9" x14ac:dyDescent="0.3">
      <c r="A8234" t="s">
        <v>10118</v>
      </c>
      <c r="B8234" t="s">
        <v>10</v>
      </c>
      <c r="C8234">
        <v>7648876604</v>
      </c>
      <c r="D8234" s="2">
        <v>1</v>
      </c>
      <c r="E8234" t="str">
        <f>"4574674200920312"</f>
        <v>4574674200920312</v>
      </c>
      <c r="F8234" t="str">
        <f>"899"</f>
        <v>899</v>
      </c>
      <c r="G8234">
        <v>1</v>
      </c>
      <c r="H8234">
        <v>2023</v>
      </c>
      <c r="I8234" t="s">
        <v>8349</v>
      </c>
    </row>
    <row r="8235" spans="1:9" x14ac:dyDescent="0.3">
      <c r="A8235" t="s">
        <v>10118</v>
      </c>
      <c r="B8235" t="s">
        <v>10</v>
      </c>
      <c r="C8235">
        <v>7648876604</v>
      </c>
      <c r="D8235" s="2">
        <v>1</v>
      </c>
      <c r="E8235" t="str">
        <f>"4574674200920353"</f>
        <v>4574674200920353</v>
      </c>
      <c r="F8235" t="str">
        <f>"480"</f>
        <v>480</v>
      </c>
      <c r="G8235">
        <v>1</v>
      </c>
      <c r="H8235">
        <v>2023</v>
      </c>
      <c r="I8235" t="s">
        <v>8350</v>
      </c>
    </row>
    <row r="8236" spans="1:9" x14ac:dyDescent="0.3">
      <c r="A8236" t="s">
        <v>10119</v>
      </c>
      <c r="B8236" t="s">
        <v>11</v>
      </c>
      <c r="C8236">
        <v>7648876604</v>
      </c>
      <c r="D8236" s="2">
        <v>1</v>
      </c>
      <c r="E8236" t="str">
        <f>"4574674200920627"</f>
        <v>4574674200920627</v>
      </c>
      <c r="F8236" t="str">
        <f>"636"</f>
        <v>636</v>
      </c>
      <c r="G8236">
        <v>1</v>
      </c>
      <c r="H8236">
        <v>2023</v>
      </c>
      <c r="I8236" t="s">
        <v>8351</v>
      </c>
    </row>
    <row r="8237" spans="1:9" x14ac:dyDescent="0.3">
      <c r="A8237" t="s">
        <v>10119</v>
      </c>
      <c r="B8237" t="s">
        <v>11</v>
      </c>
      <c r="C8237">
        <v>7648876604</v>
      </c>
      <c r="D8237" s="2">
        <v>1</v>
      </c>
      <c r="E8237" t="str">
        <f>"4574674200920379"</f>
        <v>4574674200920379</v>
      </c>
      <c r="F8237" t="str">
        <f>"479"</f>
        <v>479</v>
      </c>
      <c r="G8237">
        <v>1</v>
      </c>
      <c r="H8237">
        <v>2023</v>
      </c>
      <c r="I8237" t="s">
        <v>8352</v>
      </c>
    </row>
    <row r="8238" spans="1:9" x14ac:dyDescent="0.3">
      <c r="A8238" t="s">
        <v>10119</v>
      </c>
      <c r="B8238" t="s">
        <v>11</v>
      </c>
      <c r="C8238">
        <v>7648876604</v>
      </c>
      <c r="D8238" s="2">
        <v>1</v>
      </c>
      <c r="E8238" t="str">
        <f>"4574674200920528"</f>
        <v>4574674200920528</v>
      </c>
      <c r="F8238" t="str">
        <f>"981"</f>
        <v>981</v>
      </c>
      <c r="G8238">
        <v>1</v>
      </c>
      <c r="H8238">
        <v>2023</v>
      </c>
      <c r="I8238" t="s">
        <v>8353</v>
      </c>
    </row>
    <row r="8239" spans="1:9" x14ac:dyDescent="0.3">
      <c r="A8239" t="s">
        <v>10119</v>
      </c>
      <c r="B8239" t="s">
        <v>11</v>
      </c>
      <c r="C8239">
        <v>7648876604</v>
      </c>
      <c r="D8239" s="2">
        <v>1</v>
      </c>
      <c r="E8239" t="str">
        <f>"4574674200920809"</f>
        <v>4574674200920809</v>
      </c>
      <c r="F8239" t="str">
        <f>"813"</f>
        <v>813</v>
      </c>
      <c r="G8239">
        <v>1</v>
      </c>
      <c r="H8239">
        <v>2023</v>
      </c>
      <c r="I8239" t="s">
        <v>8354</v>
      </c>
    </row>
    <row r="8240" spans="1:9" x14ac:dyDescent="0.3">
      <c r="A8240" t="s">
        <v>10119</v>
      </c>
      <c r="B8240" t="s">
        <v>11</v>
      </c>
      <c r="C8240">
        <v>7648876604</v>
      </c>
      <c r="D8240" s="2">
        <v>1</v>
      </c>
      <c r="E8240" t="str">
        <f>"4574674200920791"</f>
        <v>4574674200920791</v>
      </c>
      <c r="F8240" t="str">
        <f>"615"</f>
        <v>615</v>
      </c>
      <c r="G8240">
        <v>1</v>
      </c>
      <c r="H8240">
        <v>2023</v>
      </c>
      <c r="I8240" t="s">
        <v>8355</v>
      </c>
    </row>
    <row r="8241" spans="1:9" x14ac:dyDescent="0.3">
      <c r="A8241" t="s">
        <v>10119</v>
      </c>
      <c r="B8241" t="s">
        <v>11</v>
      </c>
      <c r="C8241">
        <v>7648876604</v>
      </c>
      <c r="D8241" s="2">
        <v>1</v>
      </c>
      <c r="E8241" t="str">
        <f>"4574674200920825"</f>
        <v>4574674200920825</v>
      </c>
      <c r="F8241" t="str">
        <f>"767"</f>
        <v>767</v>
      </c>
      <c r="G8241">
        <v>1</v>
      </c>
      <c r="H8241">
        <v>2023</v>
      </c>
      <c r="I8241" t="s">
        <v>8356</v>
      </c>
    </row>
    <row r="8242" spans="1:9" x14ac:dyDescent="0.3">
      <c r="A8242" t="s">
        <v>10119</v>
      </c>
      <c r="B8242" t="s">
        <v>11</v>
      </c>
      <c r="C8242">
        <v>7648876604</v>
      </c>
      <c r="D8242" s="2">
        <v>1</v>
      </c>
      <c r="E8242" t="str">
        <f>"4574674200920817"</f>
        <v>4574674200920817</v>
      </c>
      <c r="F8242" t="str">
        <f>"640"</f>
        <v>640</v>
      </c>
      <c r="G8242">
        <v>1</v>
      </c>
      <c r="H8242">
        <v>2023</v>
      </c>
      <c r="I8242" t="s">
        <v>8357</v>
      </c>
    </row>
    <row r="8243" spans="1:9" x14ac:dyDescent="0.3">
      <c r="A8243" t="s">
        <v>10119</v>
      </c>
      <c r="B8243" t="s">
        <v>11</v>
      </c>
      <c r="C8243">
        <v>7648876604</v>
      </c>
      <c r="D8243" s="2">
        <v>1</v>
      </c>
      <c r="E8243" t="str">
        <f>"4574674200920841"</f>
        <v>4574674200920841</v>
      </c>
      <c r="F8243" t="str">
        <f>"311"</f>
        <v>311</v>
      </c>
      <c r="G8243">
        <v>1</v>
      </c>
      <c r="H8243">
        <v>2023</v>
      </c>
      <c r="I8243" t="s">
        <v>8358</v>
      </c>
    </row>
    <row r="8244" spans="1:9" x14ac:dyDescent="0.3">
      <c r="A8244" t="s">
        <v>10119</v>
      </c>
      <c r="B8244" t="s">
        <v>11</v>
      </c>
      <c r="C8244">
        <v>7648876604</v>
      </c>
      <c r="D8244" s="2">
        <v>1</v>
      </c>
      <c r="E8244" t="str">
        <f>"4574674200920833"</f>
        <v>4574674200920833</v>
      </c>
      <c r="F8244" t="str">
        <f>"731"</f>
        <v>731</v>
      </c>
      <c r="G8244">
        <v>1</v>
      </c>
      <c r="H8244">
        <v>2023</v>
      </c>
      <c r="I8244" t="s">
        <v>8359</v>
      </c>
    </row>
    <row r="8245" spans="1:9" x14ac:dyDescent="0.3">
      <c r="A8245" t="s">
        <v>10119</v>
      </c>
      <c r="B8245" t="s">
        <v>11</v>
      </c>
      <c r="C8245">
        <v>7648876604</v>
      </c>
      <c r="D8245" s="2">
        <v>1</v>
      </c>
      <c r="E8245" t="str">
        <f>"4574674200920957"</f>
        <v>4574674200920957</v>
      </c>
      <c r="F8245" t="str">
        <f>"043"</f>
        <v>043</v>
      </c>
      <c r="G8245">
        <v>1</v>
      </c>
      <c r="H8245">
        <v>2023</v>
      </c>
      <c r="I8245" t="s">
        <v>8360</v>
      </c>
    </row>
    <row r="8246" spans="1:9" x14ac:dyDescent="0.3">
      <c r="A8246" t="s">
        <v>10120</v>
      </c>
      <c r="B8246" t="s">
        <v>12</v>
      </c>
      <c r="C8246">
        <v>7648876604</v>
      </c>
      <c r="D8246" s="2">
        <v>1</v>
      </c>
      <c r="E8246" t="str">
        <f>"4574674200920999"</f>
        <v>4574674200920999</v>
      </c>
      <c r="F8246" t="str">
        <f>"084"</f>
        <v>084</v>
      </c>
      <c r="G8246">
        <v>1</v>
      </c>
      <c r="H8246">
        <v>2023</v>
      </c>
      <c r="I8246" t="s">
        <v>8361</v>
      </c>
    </row>
    <row r="8247" spans="1:9" x14ac:dyDescent="0.3">
      <c r="A8247" t="s">
        <v>10120</v>
      </c>
      <c r="B8247" t="s">
        <v>12</v>
      </c>
      <c r="C8247">
        <v>7648876604</v>
      </c>
      <c r="D8247" s="2">
        <v>1</v>
      </c>
      <c r="E8247" t="str">
        <f>"4574674200920593"</f>
        <v>4574674200920593</v>
      </c>
      <c r="F8247" t="str">
        <f>"569"</f>
        <v>569</v>
      </c>
      <c r="G8247">
        <v>1</v>
      </c>
      <c r="H8247">
        <v>2023</v>
      </c>
      <c r="I8247" t="s">
        <v>8362</v>
      </c>
    </row>
    <row r="8248" spans="1:9" x14ac:dyDescent="0.3">
      <c r="A8248" t="s">
        <v>10120</v>
      </c>
      <c r="B8248" t="s">
        <v>12</v>
      </c>
      <c r="C8248">
        <v>7648876604</v>
      </c>
      <c r="D8248" s="2">
        <v>1</v>
      </c>
      <c r="E8248" t="str">
        <f>"4574674200921104"</f>
        <v>4574674200921104</v>
      </c>
      <c r="F8248" t="str">
        <f>"683"</f>
        <v>683</v>
      </c>
      <c r="G8248">
        <v>1</v>
      </c>
      <c r="H8248">
        <v>2023</v>
      </c>
      <c r="I8248" t="s">
        <v>8363</v>
      </c>
    </row>
    <row r="8249" spans="1:9" x14ac:dyDescent="0.3">
      <c r="A8249" t="s">
        <v>10120</v>
      </c>
      <c r="B8249" t="s">
        <v>12</v>
      </c>
      <c r="C8249">
        <v>7648876604</v>
      </c>
      <c r="D8249" s="2">
        <v>1</v>
      </c>
      <c r="E8249" t="str">
        <f>"4574674200921203"</f>
        <v>4574674200921203</v>
      </c>
      <c r="F8249" t="str">
        <f>"835"</f>
        <v>835</v>
      </c>
      <c r="G8249">
        <v>1</v>
      </c>
      <c r="H8249">
        <v>2023</v>
      </c>
      <c r="I8249" t="s">
        <v>8364</v>
      </c>
    </row>
    <row r="8250" spans="1:9" x14ac:dyDescent="0.3">
      <c r="A8250" t="s">
        <v>10120</v>
      </c>
      <c r="B8250" t="s">
        <v>12</v>
      </c>
      <c r="C8250">
        <v>7648876604</v>
      </c>
      <c r="D8250" s="2">
        <v>1</v>
      </c>
      <c r="E8250" t="str">
        <f>"4574674200921179"</f>
        <v>4574674200921179</v>
      </c>
      <c r="F8250" t="str">
        <f>"159"</f>
        <v>159</v>
      </c>
      <c r="G8250">
        <v>1</v>
      </c>
      <c r="H8250">
        <v>2023</v>
      </c>
      <c r="I8250" t="s">
        <v>8365</v>
      </c>
    </row>
    <row r="8251" spans="1:9" x14ac:dyDescent="0.3">
      <c r="A8251" t="s">
        <v>10120</v>
      </c>
      <c r="B8251" t="s">
        <v>12</v>
      </c>
      <c r="C8251">
        <v>7648876604</v>
      </c>
      <c r="D8251" s="2">
        <v>1</v>
      </c>
      <c r="E8251" t="str">
        <f>"4574674200921161"</f>
        <v>4574674200921161</v>
      </c>
      <c r="F8251" t="str">
        <f>"346"</f>
        <v>346</v>
      </c>
      <c r="G8251">
        <v>1</v>
      </c>
      <c r="H8251">
        <v>2023</v>
      </c>
      <c r="I8251" t="s">
        <v>8366</v>
      </c>
    </row>
    <row r="8252" spans="1:9" x14ac:dyDescent="0.3">
      <c r="A8252" t="s">
        <v>10120</v>
      </c>
      <c r="B8252" t="s">
        <v>12</v>
      </c>
      <c r="C8252">
        <v>7648876604</v>
      </c>
      <c r="D8252" s="2">
        <v>1</v>
      </c>
      <c r="E8252" t="str">
        <f>"4574674200921112"</f>
        <v>4574674200921112</v>
      </c>
      <c r="F8252" t="str">
        <f>"210"</f>
        <v>210</v>
      </c>
      <c r="G8252">
        <v>1</v>
      </c>
      <c r="H8252">
        <v>2023</v>
      </c>
      <c r="I8252" t="s">
        <v>8367</v>
      </c>
    </row>
    <row r="8253" spans="1:9" x14ac:dyDescent="0.3">
      <c r="A8253" t="s">
        <v>10120</v>
      </c>
      <c r="B8253" t="s">
        <v>12</v>
      </c>
      <c r="C8253">
        <v>7648876604</v>
      </c>
      <c r="D8253" s="2">
        <v>1</v>
      </c>
      <c r="E8253" t="str">
        <f>"4574674200921211"</f>
        <v>4574674200921211</v>
      </c>
      <c r="F8253" t="str">
        <f>"016"</f>
        <v>016</v>
      </c>
      <c r="G8253">
        <v>1</v>
      </c>
      <c r="H8253">
        <v>2023</v>
      </c>
      <c r="I8253" t="s">
        <v>8368</v>
      </c>
    </row>
    <row r="8254" spans="1:9" x14ac:dyDescent="0.3">
      <c r="A8254" t="s">
        <v>10120</v>
      </c>
      <c r="B8254" t="s">
        <v>12</v>
      </c>
      <c r="C8254">
        <v>7648876604</v>
      </c>
      <c r="D8254" s="2">
        <v>1</v>
      </c>
      <c r="E8254" t="str">
        <f>"4574674200921492"</f>
        <v>4574674200921492</v>
      </c>
      <c r="F8254" t="str">
        <f>"847"</f>
        <v>847</v>
      </c>
      <c r="G8254">
        <v>1</v>
      </c>
      <c r="H8254">
        <v>2023</v>
      </c>
      <c r="I8254" t="s">
        <v>8369</v>
      </c>
    </row>
    <row r="8255" spans="1:9" x14ac:dyDescent="0.3">
      <c r="A8255" t="s">
        <v>10120</v>
      </c>
      <c r="B8255" t="s">
        <v>12</v>
      </c>
      <c r="C8255">
        <v>7648876604</v>
      </c>
      <c r="D8255" s="2">
        <v>1</v>
      </c>
      <c r="E8255" t="str">
        <f>"4574674200921559"</f>
        <v>4574674200921559</v>
      </c>
      <c r="F8255" t="str">
        <f>"926"</f>
        <v>926</v>
      </c>
      <c r="G8255">
        <v>1</v>
      </c>
      <c r="H8255">
        <v>2023</v>
      </c>
      <c r="I8255" t="s">
        <v>8370</v>
      </c>
    </row>
    <row r="8256" spans="1:9" x14ac:dyDescent="0.3">
      <c r="A8256" t="s">
        <v>10121</v>
      </c>
      <c r="B8256" t="s">
        <v>13</v>
      </c>
      <c r="C8256">
        <v>7648876604</v>
      </c>
      <c r="D8256" s="2">
        <v>1</v>
      </c>
      <c r="E8256" t="str">
        <f>"4574674200921252"</f>
        <v>4574674200921252</v>
      </c>
      <c r="F8256" t="str">
        <f>"774"</f>
        <v>774</v>
      </c>
      <c r="G8256">
        <v>1</v>
      </c>
      <c r="H8256">
        <v>2023</v>
      </c>
      <c r="I8256" t="s">
        <v>8371</v>
      </c>
    </row>
    <row r="8257" spans="1:9" x14ac:dyDescent="0.3">
      <c r="A8257" t="s">
        <v>10121</v>
      </c>
      <c r="B8257" t="s">
        <v>13</v>
      </c>
      <c r="C8257">
        <v>7648876604</v>
      </c>
      <c r="D8257" s="2">
        <v>1</v>
      </c>
      <c r="E8257" t="str">
        <f>"4574674200921609"</f>
        <v>4574674200921609</v>
      </c>
      <c r="F8257" t="str">
        <f>"731"</f>
        <v>731</v>
      </c>
      <c r="G8257">
        <v>1</v>
      </c>
      <c r="H8257">
        <v>2023</v>
      </c>
      <c r="I8257" t="s">
        <v>8372</v>
      </c>
    </row>
    <row r="8258" spans="1:9" x14ac:dyDescent="0.3">
      <c r="A8258" t="s">
        <v>10121</v>
      </c>
      <c r="B8258" t="s">
        <v>13</v>
      </c>
      <c r="C8258">
        <v>7648876604</v>
      </c>
      <c r="D8258" s="2">
        <v>1</v>
      </c>
      <c r="E8258" t="str">
        <f>"4574674200921617"</f>
        <v>4574674200921617</v>
      </c>
      <c r="F8258" t="str">
        <f>"111"</f>
        <v>111</v>
      </c>
      <c r="G8258">
        <v>1</v>
      </c>
      <c r="H8258">
        <v>2023</v>
      </c>
      <c r="I8258" t="s">
        <v>8373</v>
      </c>
    </row>
    <row r="8259" spans="1:9" x14ac:dyDescent="0.3">
      <c r="A8259" t="s">
        <v>10121</v>
      </c>
      <c r="B8259" t="s">
        <v>13</v>
      </c>
      <c r="C8259">
        <v>7648876604</v>
      </c>
      <c r="D8259" s="2">
        <v>1</v>
      </c>
      <c r="E8259" t="str">
        <f>"4574674200921260"</f>
        <v>4574674200921260</v>
      </c>
      <c r="F8259" t="str">
        <f>"421"</f>
        <v>421</v>
      </c>
      <c r="G8259">
        <v>1</v>
      </c>
      <c r="H8259">
        <v>2023</v>
      </c>
      <c r="I8259" t="s">
        <v>8374</v>
      </c>
    </row>
    <row r="8260" spans="1:9" x14ac:dyDescent="0.3">
      <c r="A8260" t="s">
        <v>10121</v>
      </c>
      <c r="B8260" t="s">
        <v>13</v>
      </c>
      <c r="C8260">
        <v>7648876604</v>
      </c>
      <c r="D8260" s="2">
        <v>1</v>
      </c>
      <c r="E8260" t="str">
        <f>"4574674200921765"</f>
        <v>4574674200921765</v>
      </c>
      <c r="F8260" t="str">
        <f>"719"</f>
        <v>719</v>
      </c>
      <c r="G8260">
        <v>1</v>
      </c>
      <c r="H8260">
        <v>2023</v>
      </c>
      <c r="I8260" t="s">
        <v>8375</v>
      </c>
    </row>
    <row r="8261" spans="1:9" x14ac:dyDescent="0.3">
      <c r="A8261" t="s">
        <v>10121</v>
      </c>
      <c r="B8261" t="s">
        <v>13</v>
      </c>
      <c r="C8261">
        <v>7648876604</v>
      </c>
      <c r="D8261" s="2">
        <v>1</v>
      </c>
      <c r="E8261" t="str">
        <f>"4574674200921773"</f>
        <v>4574674200921773</v>
      </c>
      <c r="F8261" t="str">
        <f>"284"</f>
        <v>284</v>
      </c>
      <c r="G8261">
        <v>1</v>
      </c>
      <c r="H8261">
        <v>2023</v>
      </c>
      <c r="I8261" t="s">
        <v>8376</v>
      </c>
    </row>
    <row r="8262" spans="1:9" x14ac:dyDescent="0.3">
      <c r="A8262" t="s">
        <v>10121</v>
      </c>
      <c r="B8262" t="s">
        <v>13</v>
      </c>
      <c r="C8262">
        <v>7648876604</v>
      </c>
      <c r="D8262" s="2">
        <v>1</v>
      </c>
      <c r="E8262" t="str">
        <f>"4574674200921278"</f>
        <v>4574674200921278</v>
      </c>
      <c r="F8262" t="str">
        <f>"641"</f>
        <v>641</v>
      </c>
      <c r="G8262">
        <v>1</v>
      </c>
      <c r="H8262">
        <v>2023</v>
      </c>
      <c r="I8262" t="s">
        <v>8377</v>
      </c>
    </row>
    <row r="8263" spans="1:9" x14ac:dyDescent="0.3">
      <c r="A8263" t="s">
        <v>10121</v>
      </c>
      <c r="B8263" t="s">
        <v>13</v>
      </c>
      <c r="C8263">
        <v>7648876604</v>
      </c>
      <c r="D8263" s="2">
        <v>1</v>
      </c>
      <c r="E8263" t="str">
        <f>"4574674200921914"</f>
        <v>4574674200921914</v>
      </c>
      <c r="F8263" t="str">
        <f>"620"</f>
        <v>620</v>
      </c>
      <c r="G8263">
        <v>1</v>
      </c>
      <c r="H8263">
        <v>2023</v>
      </c>
      <c r="I8263" t="s">
        <v>8378</v>
      </c>
    </row>
    <row r="8264" spans="1:9" x14ac:dyDescent="0.3">
      <c r="A8264" t="s">
        <v>10121</v>
      </c>
      <c r="B8264" t="s">
        <v>13</v>
      </c>
      <c r="C8264">
        <v>7648876604</v>
      </c>
      <c r="D8264" s="2">
        <v>1</v>
      </c>
      <c r="E8264" t="str">
        <f>"4574674200921922"</f>
        <v>4574674200921922</v>
      </c>
      <c r="F8264" t="str">
        <f>"739"</f>
        <v>739</v>
      </c>
      <c r="G8264">
        <v>1</v>
      </c>
      <c r="H8264">
        <v>2023</v>
      </c>
      <c r="I8264" t="s">
        <v>8379</v>
      </c>
    </row>
    <row r="8265" spans="1:9" x14ac:dyDescent="0.3">
      <c r="A8265" t="s">
        <v>10121</v>
      </c>
      <c r="B8265" t="s">
        <v>13</v>
      </c>
      <c r="C8265">
        <v>7648876604</v>
      </c>
      <c r="D8265" s="2">
        <v>1</v>
      </c>
      <c r="E8265" t="str">
        <f>"4574674200921989"</f>
        <v>4574674200921989</v>
      </c>
      <c r="F8265" t="str">
        <f>"168"</f>
        <v>168</v>
      </c>
      <c r="G8265">
        <v>1</v>
      </c>
      <c r="H8265">
        <v>2023</v>
      </c>
      <c r="I8265" t="s">
        <v>8380</v>
      </c>
    </row>
    <row r="8266" spans="1:9" x14ac:dyDescent="0.3">
      <c r="A8266" t="s">
        <v>10122</v>
      </c>
      <c r="B8266" t="s">
        <v>14</v>
      </c>
      <c r="C8266">
        <v>7648876604</v>
      </c>
      <c r="D8266" s="2">
        <v>1</v>
      </c>
      <c r="E8266" t="str">
        <f>"4574674200922003"</f>
        <v>4574674200922003</v>
      </c>
      <c r="F8266" t="str">
        <f>"539"</f>
        <v>539</v>
      </c>
      <c r="G8266">
        <v>1</v>
      </c>
      <c r="H8266">
        <v>2023</v>
      </c>
      <c r="I8266" t="s">
        <v>8381</v>
      </c>
    </row>
    <row r="8267" spans="1:9" x14ac:dyDescent="0.3">
      <c r="A8267" t="s">
        <v>10122</v>
      </c>
      <c r="B8267" t="s">
        <v>14</v>
      </c>
      <c r="C8267">
        <v>7648876604</v>
      </c>
      <c r="D8267" s="2">
        <v>1</v>
      </c>
      <c r="E8267" t="str">
        <f>"4574674200921294"</f>
        <v>4574674200921294</v>
      </c>
      <c r="F8267" t="str">
        <f>"811"</f>
        <v>811</v>
      </c>
      <c r="G8267">
        <v>1</v>
      </c>
      <c r="H8267">
        <v>2023</v>
      </c>
      <c r="I8267" t="s">
        <v>8382</v>
      </c>
    </row>
    <row r="8268" spans="1:9" x14ac:dyDescent="0.3">
      <c r="A8268" t="s">
        <v>10122</v>
      </c>
      <c r="B8268" t="s">
        <v>14</v>
      </c>
      <c r="C8268">
        <v>7648876604</v>
      </c>
      <c r="D8268" s="2">
        <v>1</v>
      </c>
      <c r="E8268" t="str">
        <f>"4574674200922102"</f>
        <v>4574674200922102</v>
      </c>
      <c r="F8268" t="str">
        <f>"154"</f>
        <v>154</v>
      </c>
      <c r="G8268">
        <v>1</v>
      </c>
      <c r="H8268">
        <v>2023</v>
      </c>
      <c r="I8268" t="s">
        <v>8383</v>
      </c>
    </row>
    <row r="8269" spans="1:9" x14ac:dyDescent="0.3">
      <c r="A8269" t="s">
        <v>10122</v>
      </c>
      <c r="B8269" t="s">
        <v>14</v>
      </c>
      <c r="C8269">
        <v>7648876604</v>
      </c>
      <c r="D8269" s="2">
        <v>1</v>
      </c>
      <c r="E8269" t="str">
        <f>"4574674200922144"</f>
        <v>4574674200922144</v>
      </c>
      <c r="F8269" t="str">
        <f>"671"</f>
        <v>671</v>
      </c>
      <c r="G8269">
        <v>1</v>
      </c>
      <c r="H8269">
        <v>2023</v>
      </c>
      <c r="I8269" t="s">
        <v>8384</v>
      </c>
    </row>
    <row r="8270" spans="1:9" x14ac:dyDescent="0.3">
      <c r="A8270" t="s">
        <v>10122</v>
      </c>
      <c r="B8270" t="s">
        <v>14</v>
      </c>
      <c r="C8270">
        <v>7648876604</v>
      </c>
      <c r="D8270" s="2">
        <v>1</v>
      </c>
      <c r="E8270" t="str">
        <f>"4574674200922201"</f>
        <v>4574674200922201</v>
      </c>
      <c r="F8270" t="str">
        <f>"116"</f>
        <v>116</v>
      </c>
      <c r="G8270">
        <v>1</v>
      </c>
      <c r="H8270">
        <v>2023</v>
      </c>
      <c r="I8270" t="s">
        <v>8385</v>
      </c>
    </row>
    <row r="8271" spans="1:9" x14ac:dyDescent="0.3">
      <c r="A8271" t="s">
        <v>10122</v>
      </c>
      <c r="B8271" t="s">
        <v>14</v>
      </c>
      <c r="C8271">
        <v>7648876604</v>
      </c>
      <c r="D8271" s="2">
        <v>1</v>
      </c>
      <c r="E8271" t="str">
        <f>"4574674200922250"</f>
        <v>4574674200922250</v>
      </c>
      <c r="F8271" t="str">
        <f>"356"</f>
        <v>356</v>
      </c>
      <c r="G8271">
        <v>1</v>
      </c>
      <c r="H8271">
        <v>2023</v>
      </c>
      <c r="I8271" t="s">
        <v>8386</v>
      </c>
    </row>
    <row r="8272" spans="1:9" x14ac:dyDescent="0.3">
      <c r="A8272" t="s">
        <v>10122</v>
      </c>
      <c r="B8272" t="s">
        <v>14</v>
      </c>
      <c r="C8272">
        <v>7648876604</v>
      </c>
      <c r="D8272" s="2">
        <v>1</v>
      </c>
      <c r="E8272" t="str">
        <f>"4574674200921328"</f>
        <v>4574674200921328</v>
      </c>
      <c r="F8272" t="str">
        <f>"091"</f>
        <v>091</v>
      </c>
      <c r="G8272">
        <v>1</v>
      </c>
      <c r="H8272">
        <v>2023</v>
      </c>
      <c r="I8272" t="s">
        <v>8387</v>
      </c>
    </row>
    <row r="8273" spans="1:9" x14ac:dyDescent="0.3">
      <c r="A8273" t="s">
        <v>10122</v>
      </c>
      <c r="B8273" t="s">
        <v>14</v>
      </c>
      <c r="C8273">
        <v>7648876604</v>
      </c>
      <c r="D8273" s="2">
        <v>1</v>
      </c>
      <c r="E8273" t="str">
        <f>"4574674200922326"</f>
        <v>4574674200922326</v>
      </c>
      <c r="F8273" t="str">
        <f>"163"</f>
        <v>163</v>
      </c>
      <c r="G8273">
        <v>1</v>
      </c>
      <c r="H8273">
        <v>2023</v>
      </c>
      <c r="I8273" t="s">
        <v>8388</v>
      </c>
    </row>
    <row r="8274" spans="1:9" x14ac:dyDescent="0.3">
      <c r="A8274" t="s">
        <v>10122</v>
      </c>
      <c r="B8274" t="s">
        <v>14</v>
      </c>
      <c r="C8274">
        <v>7648876604</v>
      </c>
      <c r="D8274" s="2">
        <v>1</v>
      </c>
      <c r="E8274" t="str">
        <f>"4574674200922342"</f>
        <v>4574674200922342</v>
      </c>
      <c r="F8274" t="str">
        <f>"360"</f>
        <v>360</v>
      </c>
      <c r="G8274">
        <v>1</v>
      </c>
      <c r="H8274">
        <v>2023</v>
      </c>
      <c r="I8274" t="s">
        <v>8389</v>
      </c>
    </row>
    <row r="8275" spans="1:9" x14ac:dyDescent="0.3">
      <c r="A8275" t="s">
        <v>10122</v>
      </c>
      <c r="B8275" t="s">
        <v>14</v>
      </c>
      <c r="C8275">
        <v>7648876604</v>
      </c>
      <c r="D8275" s="2">
        <v>1</v>
      </c>
      <c r="E8275" t="str">
        <f>"4574674200922417"</f>
        <v>4574674200922417</v>
      </c>
      <c r="F8275" t="str">
        <f>"680"</f>
        <v>680</v>
      </c>
      <c r="G8275">
        <v>1</v>
      </c>
      <c r="H8275">
        <v>2023</v>
      </c>
      <c r="I8275" t="s">
        <v>8390</v>
      </c>
    </row>
    <row r="8276" spans="1:9" x14ac:dyDescent="0.3">
      <c r="A8276" t="s">
        <v>10123</v>
      </c>
      <c r="B8276" t="s">
        <v>15</v>
      </c>
      <c r="C8276">
        <v>7648876604</v>
      </c>
      <c r="D8276" s="2">
        <v>1</v>
      </c>
      <c r="E8276" t="str">
        <f>"4574674200921336"</f>
        <v>4574674200921336</v>
      </c>
      <c r="F8276" t="str">
        <f>"822"</f>
        <v>822</v>
      </c>
      <c r="G8276">
        <v>1</v>
      </c>
      <c r="H8276">
        <v>2023</v>
      </c>
      <c r="I8276" t="s">
        <v>8391</v>
      </c>
    </row>
    <row r="8277" spans="1:9" x14ac:dyDescent="0.3">
      <c r="A8277" t="s">
        <v>10123</v>
      </c>
      <c r="B8277" t="s">
        <v>15</v>
      </c>
      <c r="C8277">
        <v>7648876604</v>
      </c>
      <c r="D8277" s="2">
        <v>1</v>
      </c>
      <c r="E8277" t="str">
        <f>"4574674200922474"</f>
        <v>4574674200922474</v>
      </c>
      <c r="F8277" t="str">
        <f>"606"</f>
        <v>606</v>
      </c>
      <c r="G8277">
        <v>1</v>
      </c>
      <c r="H8277">
        <v>2023</v>
      </c>
      <c r="I8277" t="s">
        <v>8392</v>
      </c>
    </row>
    <row r="8278" spans="1:9" x14ac:dyDescent="0.3">
      <c r="A8278" t="s">
        <v>10123</v>
      </c>
      <c r="B8278" t="s">
        <v>15</v>
      </c>
      <c r="C8278">
        <v>7648876604</v>
      </c>
      <c r="D8278" s="2">
        <v>1</v>
      </c>
      <c r="E8278" t="str">
        <f>"4574674200922557"</f>
        <v>4574674200922557</v>
      </c>
      <c r="F8278" t="str">
        <f>"749"</f>
        <v>749</v>
      </c>
      <c r="G8278">
        <v>1</v>
      </c>
      <c r="H8278">
        <v>2023</v>
      </c>
      <c r="I8278" t="s">
        <v>8393</v>
      </c>
    </row>
    <row r="8279" spans="1:9" x14ac:dyDescent="0.3">
      <c r="A8279" t="s">
        <v>10123</v>
      </c>
      <c r="B8279" t="s">
        <v>15</v>
      </c>
      <c r="C8279">
        <v>7648876604</v>
      </c>
      <c r="D8279" s="2">
        <v>1</v>
      </c>
      <c r="E8279" t="str">
        <f>"4574674200921351"</f>
        <v>4574674200921351</v>
      </c>
      <c r="F8279" t="str">
        <f>"388"</f>
        <v>388</v>
      </c>
      <c r="G8279">
        <v>1</v>
      </c>
      <c r="H8279">
        <v>2023</v>
      </c>
      <c r="I8279" t="s">
        <v>8394</v>
      </c>
    </row>
    <row r="8280" spans="1:9" x14ac:dyDescent="0.3">
      <c r="A8280" t="s">
        <v>10123</v>
      </c>
      <c r="B8280" t="s">
        <v>15</v>
      </c>
      <c r="C8280">
        <v>7648876604</v>
      </c>
      <c r="D8280" s="2">
        <v>1</v>
      </c>
      <c r="E8280" t="str">
        <f>"4574674200922623"</f>
        <v>4574674200922623</v>
      </c>
      <c r="F8280" t="str">
        <f>"566"</f>
        <v>566</v>
      </c>
      <c r="G8280">
        <v>1</v>
      </c>
      <c r="H8280">
        <v>2023</v>
      </c>
      <c r="I8280" t="s">
        <v>8395</v>
      </c>
    </row>
    <row r="8281" spans="1:9" x14ac:dyDescent="0.3">
      <c r="A8281" t="s">
        <v>10123</v>
      </c>
      <c r="B8281" t="s">
        <v>15</v>
      </c>
      <c r="C8281">
        <v>7648876604</v>
      </c>
      <c r="D8281" s="2">
        <v>1</v>
      </c>
      <c r="E8281" t="str">
        <f>"4574674200922664"</f>
        <v>4574674200922664</v>
      </c>
      <c r="F8281" t="str">
        <f>"478"</f>
        <v>478</v>
      </c>
      <c r="G8281">
        <v>1</v>
      </c>
      <c r="H8281">
        <v>2023</v>
      </c>
      <c r="I8281" t="s">
        <v>8396</v>
      </c>
    </row>
    <row r="8282" spans="1:9" x14ac:dyDescent="0.3">
      <c r="A8282" t="s">
        <v>10123</v>
      </c>
      <c r="B8282" t="s">
        <v>15</v>
      </c>
      <c r="C8282">
        <v>7648876604</v>
      </c>
      <c r="D8282" s="2">
        <v>1</v>
      </c>
      <c r="E8282" t="str">
        <f>"4574674200922649"</f>
        <v>4574674200922649</v>
      </c>
      <c r="F8282" t="str">
        <f>"264"</f>
        <v>264</v>
      </c>
      <c r="G8282">
        <v>1</v>
      </c>
      <c r="H8282">
        <v>2023</v>
      </c>
      <c r="I8282" t="s">
        <v>8397</v>
      </c>
    </row>
    <row r="8283" spans="1:9" x14ac:dyDescent="0.3">
      <c r="A8283" t="s">
        <v>10123</v>
      </c>
      <c r="B8283" t="s">
        <v>15</v>
      </c>
      <c r="C8283">
        <v>7648876604</v>
      </c>
      <c r="D8283" s="2">
        <v>1</v>
      </c>
      <c r="E8283" t="str">
        <f>"4574674200922748"</f>
        <v>4574674200922748</v>
      </c>
      <c r="F8283" t="str">
        <f>"516"</f>
        <v>516</v>
      </c>
      <c r="G8283">
        <v>1</v>
      </c>
      <c r="H8283">
        <v>2023</v>
      </c>
      <c r="I8283" t="s">
        <v>8398</v>
      </c>
    </row>
    <row r="8284" spans="1:9" x14ac:dyDescent="0.3">
      <c r="A8284" t="s">
        <v>10123</v>
      </c>
      <c r="B8284" t="s">
        <v>15</v>
      </c>
      <c r="C8284">
        <v>7648876604</v>
      </c>
      <c r="D8284" s="2">
        <v>1</v>
      </c>
      <c r="E8284" t="str">
        <f>"4574674200921377"</f>
        <v>4574674200921377</v>
      </c>
      <c r="F8284" t="str">
        <f>"350"</f>
        <v>350</v>
      </c>
      <c r="G8284">
        <v>1</v>
      </c>
      <c r="H8284">
        <v>2023</v>
      </c>
      <c r="I8284" t="s">
        <v>8399</v>
      </c>
    </row>
    <row r="8285" spans="1:9" x14ac:dyDescent="0.3">
      <c r="A8285" t="s">
        <v>10123</v>
      </c>
      <c r="B8285" t="s">
        <v>15</v>
      </c>
      <c r="C8285">
        <v>7648876604</v>
      </c>
      <c r="D8285" s="2">
        <v>1</v>
      </c>
      <c r="E8285" t="str">
        <f>"4574674200921385"</f>
        <v>4574674200921385</v>
      </c>
      <c r="F8285" t="str">
        <f>"781"</f>
        <v>781</v>
      </c>
      <c r="G8285">
        <v>1</v>
      </c>
      <c r="H8285">
        <v>2023</v>
      </c>
      <c r="I8285" t="s">
        <v>8400</v>
      </c>
    </row>
    <row r="8286" spans="1:9" x14ac:dyDescent="0.3">
      <c r="A8286" t="s">
        <v>10124</v>
      </c>
      <c r="B8286" t="s">
        <v>16</v>
      </c>
      <c r="C8286">
        <v>7648876604</v>
      </c>
      <c r="D8286" s="2">
        <v>1</v>
      </c>
      <c r="E8286" t="str">
        <f>"4574674200922904"</f>
        <v>4574674200922904</v>
      </c>
      <c r="F8286" t="str">
        <f>"188"</f>
        <v>188</v>
      </c>
      <c r="G8286">
        <v>1</v>
      </c>
      <c r="H8286">
        <v>2023</v>
      </c>
      <c r="I8286" t="s">
        <v>8401</v>
      </c>
    </row>
    <row r="8287" spans="1:9" x14ac:dyDescent="0.3">
      <c r="A8287" t="s">
        <v>10124</v>
      </c>
      <c r="B8287" t="s">
        <v>16</v>
      </c>
      <c r="C8287">
        <v>7648876604</v>
      </c>
      <c r="D8287" s="2">
        <v>1</v>
      </c>
      <c r="E8287" t="str">
        <f>"4574674200922912"</f>
        <v>4574674200922912</v>
      </c>
      <c r="F8287" t="str">
        <f>"562"</f>
        <v>562</v>
      </c>
      <c r="G8287">
        <v>1</v>
      </c>
      <c r="H8287">
        <v>2023</v>
      </c>
      <c r="I8287" t="s">
        <v>8402</v>
      </c>
    </row>
    <row r="8288" spans="1:9" x14ac:dyDescent="0.3">
      <c r="A8288" t="s">
        <v>10124</v>
      </c>
      <c r="B8288" t="s">
        <v>16</v>
      </c>
      <c r="C8288">
        <v>7648876604</v>
      </c>
      <c r="D8288" s="2">
        <v>1</v>
      </c>
      <c r="E8288" t="str">
        <f>"4574674200922920"</f>
        <v>4574674200922920</v>
      </c>
      <c r="F8288" t="str">
        <f>"550"</f>
        <v>550</v>
      </c>
      <c r="G8288">
        <v>1</v>
      </c>
      <c r="H8288">
        <v>2023</v>
      </c>
      <c r="I8288" t="s">
        <v>8403</v>
      </c>
    </row>
    <row r="8289" spans="1:9" x14ac:dyDescent="0.3">
      <c r="A8289" t="s">
        <v>10124</v>
      </c>
      <c r="B8289" t="s">
        <v>16</v>
      </c>
      <c r="C8289">
        <v>7648876604</v>
      </c>
      <c r="D8289" s="2">
        <v>1</v>
      </c>
      <c r="E8289" t="str">
        <f>"4574674200923001"</f>
        <v>4574674200923001</v>
      </c>
      <c r="F8289" t="str">
        <f>"000"</f>
        <v>000</v>
      </c>
      <c r="G8289">
        <v>1</v>
      </c>
      <c r="H8289">
        <v>2023</v>
      </c>
      <c r="I8289" t="s">
        <v>8404</v>
      </c>
    </row>
    <row r="8290" spans="1:9" x14ac:dyDescent="0.3">
      <c r="A8290" t="s">
        <v>10124</v>
      </c>
      <c r="B8290" t="s">
        <v>16</v>
      </c>
      <c r="C8290">
        <v>7648876604</v>
      </c>
      <c r="D8290" s="2">
        <v>1</v>
      </c>
      <c r="E8290" t="str">
        <f>"4574674200922953"</f>
        <v>4574674200922953</v>
      </c>
      <c r="F8290" t="str">
        <f>"451"</f>
        <v>451</v>
      </c>
      <c r="G8290">
        <v>1</v>
      </c>
      <c r="H8290">
        <v>2023</v>
      </c>
      <c r="I8290" t="s">
        <v>8405</v>
      </c>
    </row>
    <row r="8291" spans="1:9" x14ac:dyDescent="0.3">
      <c r="A8291" t="s">
        <v>10124</v>
      </c>
      <c r="B8291" t="s">
        <v>16</v>
      </c>
      <c r="C8291">
        <v>7648876604</v>
      </c>
      <c r="D8291" s="2">
        <v>1</v>
      </c>
      <c r="E8291" t="str">
        <f>"4574674200922995"</f>
        <v>4574674200922995</v>
      </c>
      <c r="F8291" t="str">
        <f>"952"</f>
        <v>952</v>
      </c>
      <c r="G8291">
        <v>1</v>
      </c>
      <c r="H8291">
        <v>2023</v>
      </c>
      <c r="I8291" t="s">
        <v>8406</v>
      </c>
    </row>
    <row r="8292" spans="1:9" x14ac:dyDescent="0.3">
      <c r="A8292" t="s">
        <v>10124</v>
      </c>
      <c r="B8292" t="s">
        <v>16</v>
      </c>
      <c r="C8292">
        <v>7648876604</v>
      </c>
      <c r="D8292" s="2">
        <v>1</v>
      </c>
      <c r="E8292" t="str">
        <f>"4574674200923233"</f>
        <v>4574674200923233</v>
      </c>
      <c r="F8292" t="str">
        <f>"055"</f>
        <v>055</v>
      </c>
      <c r="G8292">
        <v>1</v>
      </c>
      <c r="H8292">
        <v>2023</v>
      </c>
      <c r="I8292" t="s">
        <v>8407</v>
      </c>
    </row>
    <row r="8293" spans="1:9" x14ac:dyDescent="0.3">
      <c r="A8293" t="s">
        <v>10124</v>
      </c>
      <c r="B8293" t="s">
        <v>16</v>
      </c>
      <c r="C8293">
        <v>7648876604</v>
      </c>
      <c r="D8293" s="2">
        <v>1</v>
      </c>
      <c r="E8293" t="str">
        <f>"4574674200923241"</f>
        <v>4574674200923241</v>
      </c>
      <c r="F8293" t="str">
        <f>"185"</f>
        <v>185</v>
      </c>
      <c r="G8293">
        <v>1</v>
      </c>
      <c r="H8293">
        <v>2023</v>
      </c>
      <c r="I8293" t="s">
        <v>8408</v>
      </c>
    </row>
    <row r="8294" spans="1:9" x14ac:dyDescent="0.3">
      <c r="A8294" t="s">
        <v>10124</v>
      </c>
      <c r="B8294" t="s">
        <v>16</v>
      </c>
      <c r="C8294">
        <v>7648876604</v>
      </c>
      <c r="D8294" s="2">
        <v>1</v>
      </c>
      <c r="E8294" t="str">
        <f>"4574674200923324"</f>
        <v>4574674200923324</v>
      </c>
      <c r="F8294" t="str">
        <f>"424"</f>
        <v>424</v>
      </c>
      <c r="G8294">
        <v>1</v>
      </c>
      <c r="H8294">
        <v>2023</v>
      </c>
      <c r="I8294" t="s">
        <v>8409</v>
      </c>
    </row>
    <row r="8295" spans="1:9" x14ac:dyDescent="0.3">
      <c r="A8295" t="s">
        <v>10124</v>
      </c>
      <c r="B8295" t="s">
        <v>16</v>
      </c>
      <c r="C8295">
        <v>7648876604</v>
      </c>
      <c r="D8295" s="2">
        <v>1</v>
      </c>
      <c r="E8295" t="str">
        <f>"4574674200923415"</f>
        <v>4574674200923415</v>
      </c>
      <c r="F8295" t="str">
        <f>"541"</f>
        <v>541</v>
      </c>
      <c r="G8295">
        <v>1</v>
      </c>
      <c r="H8295">
        <v>2023</v>
      </c>
      <c r="I8295" t="s">
        <v>8410</v>
      </c>
    </row>
    <row r="8296" spans="1:9" x14ac:dyDescent="0.3">
      <c r="A8296" t="s">
        <v>10125</v>
      </c>
      <c r="B8296" t="s">
        <v>17</v>
      </c>
      <c r="C8296">
        <v>7648876604</v>
      </c>
      <c r="D8296" s="2">
        <v>1</v>
      </c>
      <c r="E8296" t="str">
        <f>"4574674200923043"</f>
        <v>4574674200923043</v>
      </c>
      <c r="F8296" t="str">
        <f>"974"</f>
        <v>974</v>
      </c>
      <c r="G8296">
        <v>1</v>
      </c>
      <c r="H8296">
        <v>2023</v>
      </c>
      <c r="I8296" t="s">
        <v>8411</v>
      </c>
    </row>
    <row r="8297" spans="1:9" x14ac:dyDescent="0.3">
      <c r="A8297" t="s">
        <v>10125</v>
      </c>
      <c r="B8297" t="s">
        <v>17</v>
      </c>
      <c r="C8297">
        <v>7648876604</v>
      </c>
      <c r="D8297" s="2">
        <v>1</v>
      </c>
      <c r="E8297" t="str">
        <f>"4574674200923035"</f>
        <v>4574674200923035</v>
      </c>
      <c r="F8297" t="str">
        <f>"248"</f>
        <v>248</v>
      </c>
      <c r="G8297">
        <v>1</v>
      </c>
      <c r="H8297">
        <v>2023</v>
      </c>
      <c r="I8297" t="s">
        <v>8412</v>
      </c>
    </row>
    <row r="8298" spans="1:9" x14ac:dyDescent="0.3">
      <c r="A8298" t="s">
        <v>10125</v>
      </c>
      <c r="B8298" t="s">
        <v>17</v>
      </c>
      <c r="C8298">
        <v>7648876604</v>
      </c>
      <c r="D8298" s="2">
        <v>1</v>
      </c>
      <c r="E8298" t="str">
        <f>"4574674200923456"</f>
        <v>4574674200923456</v>
      </c>
      <c r="F8298" t="str">
        <f>"429"</f>
        <v>429</v>
      </c>
      <c r="G8298">
        <v>1</v>
      </c>
      <c r="H8298">
        <v>2023</v>
      </c>
      <c r="I8298" t="s">
        <v>8413</v>
      </c>
    </row>
    <row r="8299" spans="1:9" x14ac:dyDescent="0.3">
      <c r="A8299" t="s">
        <v>10125</v>
      </c>
      <c r="B8299" t="s">
        <v>17</v>
      </c>
      <c r="C8299">
        <v>7648876604</v>
      </c>
      <c r="D8299" s="2">
        <v>1</v>
      </c>
      <c r="E8299" t="str">
        <f>"4574674200923498"</f>
        <v>4574674200923498</v>
      </c>
      <c r="F8299" t="str">
        <f>"560"</f>
        <v>560</v>
      </c>
      <c r="G8299">
        <v>1</v>
      </c>
      <c r="H8299">
        <v>2023</v>
      </c>
      <c r="I8299" t="s">
        <v>8414</v>
      </c>
    </row>
    <row r="8300" spans="1:9" x14ac:dyDescent="0.3">
      <c r="A8300" t="s">
        <v>10125</v>
      </c>
      <c r="B8300" t="s">
        <v>17</v>
      </c>
      <c r="C8300">
        <v>7648876604</v>
      </c>
      <c r="D8300" s="2">
        <v>1</v>
      </c>
      <c r="E8300" t="str">
        <f>"4574674200923555"</f>
        <v>4574674200923555</v>
      </c>
      <c r="F8300" t="str">
        <f>"034"</f>
        <v>034</v>
      </c>
      <c r="G8300">
        <v>1</v>
      </c>
      <c r="H8300">
        <v>2023</v>
      </c>
      <c r="I8300" t="s">
        <v>8415</v>
      </c>
    </row>
    <row r="8301" spans="1:9" x14ac:dyDescent="0.3">
      <c r="A8301" t="s">
        <v>10125</v>
      </c>
      <c r="B8301" t="s">
        <v>17</v>
      </c>
      <c r="C8301">
        <v>7648876604</v>
      </c>
      <c r="D8301" s="2">
        <v>1</v>
      </c>
      <c r="E8301" t="str">
        <f>"4574674200923621"</f>
        <v>4574674200923621</v>
      </c>
      <c r="F8301" t="str">
        <f>"705"</f>
        <v>705</v>
      </c>
      <c r="G8301">
        <v>1</v>
      </c>
      <c r="H8301">
        <v>2023</v>
      </c>
      <c r="I8301" t="s">
        <v>8416</v>
      </c>
    </row>
    <row r="8302" spans="1:9" x14ac:dyDescent="0.3">
      <c r="A8302" t="s">
        <v>10125</v>
      </c>
      <c r="B8302" t="s">
        <v>17</v>
      </c>
      <c r="C8302">
        <v>7648876604</v>
      </c>
      <c r="D8302" s="2">
        <v>1</v>
      </c>
      <c r="E8302" t="str">
        <f>"4574674200923639"</f>
        <v>4574674200923639</v>
      </c>
      <c r="F8302" t="str">
        <f>"975"</f>
        <v>975</v>
      </c>
      <c r="G8302">
        <v>1</v>
      </c>
      <c r="H8302">
        <v>2023</v>
      </c>
      <c r="I8302" t="s">
        <v>8417</v>
      </c>
    </row>
    <row r="8303" spans="1:9" x14ac:dyDescent="0.3">
      <c r="A8303" t="s">
        <v>10125</v>
      </c>
      <c r="B8303" t="s">
        <v>17</v>
      </c>
      <c r="C8303">
        <v>7648876604</v>
      </c>
      <c r="D8303" s="2">
        <v>1</v>
      </c>
      <c r="E8303" t="str">
        <f>"4574674200923076"</f>
        <v>4574674200923076</v>
      </c>
      <c r="F8303" t="str">
        <f>"827"</f>
        <v>827</v>
      </c>
      <c r="G8303">
        <v>1</v>
      </c>
      <c r="H8303">
        <v>2023</v>
      </c>
      <c r="I8303" t="s">
        <v>8418</v>
      </c>
    </row>
    <row r="8304" spans="1:9" x14ac:dyDescent="0.3">
      <c r="A8304" t="s">
        <v>10125</v>
      </c>
      <c r="B8304" t="s">
        <v>17</v>
      </c>
      <c r="C8304">
        <v>7648876604</v>
      </c>
      <c r="D8304" s="2">
        <v>1</v>
      </c>
      <c r="E8304" t="str">
        <f>"4574674200923712"</f>
        <v>4574674200923712</v>
      </c>
      <c r="F8304" t="str">
        <f>"095"</f>
        <v>095</v>
      </c>
      <c r="G8304">
        <v>1</v>
      </c>
      <c r="H8304">
        <v>2023</v>
      </c>
      <c r="I8304" t="s">
        <v>8419</v>
      </c>
    </row>
    <row r="8305" spans="1:9" x14ac:dyDescent="0.3">
      <c r="A8305" t="s">
        <v>10125</v>
      </c>
      <c r="B8305" t="s">
        <v>17</v>
      </c>
      <c r="C8305">
        <v>7648876604</v>
      </c>
      <c r="D8305" s="2">
        <v>1</v>
      </c>
      <c r="E8305" t="str">
        <f>"4574674200923803"</f>
        <v>4574674200923803</v>
      </c>
      <c r="F8305" t="str">
        <f>"503"</f>
        <v>503</v>
      </c>
      <c r="G8305">
        <v>1</v>
      </c>
      <c r="H8305">
        <v>2023</v>
      </c>
      <c r="I8305" t="s">
        <v>8420</v>
      </c>
    </row>
    <row r="8306" spans="1:9" x14ac:dyDescent="0.3">
      <c r="A8306" t="s">
        <v>10126</v>
      </c>
      <c r="B8306" t="s">
        <v>18</v>
      </c>
      <c r="C8306">
        <v>7648876604</v>
      </c>
      <c r="D8306" s="2">
        <v>1</v>
      </c>
      <c r="E8306" t="str">
        <f>"4574674200923811"</f>
        <v>4574674200923811</v>
      </c>
      <c r="F8306" t="str">
        <f>"566"</f>
        <v>566</v>
      </c>
      <c r="G8306">
        <v>1</v>
      </c>
      <c r="H8306">
        <v>2023</v>
      </c>
      <c r="I8306" t="s">
        <v>8421</v>
      </c>
    </row>
    <row r="8307" spans="1:9" x14ac:dyDescent="0.3">
      <c r="A8307" t="s">
        <v>10126</v>
      </c>
      <c r="B8307" t="s">
        <v>18</v>
      </c>
      <c r="C8307">
        <v>7648876604</v>
      </c>
      <c r="D8307" s="2">
        <v>1</v>
      </c>
      <c r="E8307" t="str">
        <f>"4574674200923837"</f>
        <v>4574674200923837</v>
      </c>
      <c r="F8307" t="str">
        <f>"931"</f>
        <v>931</v>
      </c>
      <c r="G8307">
        <v>1</v>
      </c>
      <c r="H8307">
        <v>2023</v>
      </c>
      <c r="I8307" t="s">
        <v>8422</v>
      </c>
    </row>
    <row r="8308" spans="1:9" x14ac:dyDescent="0.3">
      <c r="A8308" t="s">
        <v>10126</v>
      </c>
      <c r="B8308" t="s">
        <v>18</v>
      </c>
      <c r="C8308">
        <v>7648876604</v>
      </c>
      <c r="D8308" s="2">
        <v>1</v>
      </c>
      <c r="E8308" t="str">
        <f>"4574674200923084"</f>
        <v>4574674200923084</v>
      </c>
      <c r="F8308" t="str">
        <f>"097"</f>
        <v>097</v>
      </c>
      <c r="G8308">
        <v>1</v>
      </c>
      <c r="H8308">
        <v>2023</v>
      </c>
      <c r="I8308" t="s">
        <v>8423</v>
      </c>
    </row>
    <row r="8309" spans="1:9" x14ac:dyDescent="0.3">
      <c r="A8309" t="s">
        <v>10126</v>
      </c>
      <c r="B8309" t="s">
        <v>18</v>
      </c>
      <c r="C8309">
        <v>7648876604</v>
      </c>
      <c r="D8309" s="2">
        <v>1</v>
      </c>
      <c r="E8309" t="str">
        <f>"4574674200923100"</f>
        <v>4574674200923100</v>
      </c>
      <c r="F8309" t="str">
        <f>"335"</f>
        <v>335</v>
      </c>
      <c r="G8309">
        <v>1</v>
      </c>
      <c r="H8309">
        <v>2023</v>
      </c>
      <c r="I8309" t="s">
        <v>8424</v>
      </c>
    </row>
    <row r="8310" spans="1:9" x14ac:dyDescent="0.3">
      <c r="A8310" t="s">
        <v>10126</v>
      </c>
      <c r="B8310" t="s">
        <v>18</v>
      </c>
      <c r="C8310">
        <v>7648876604</v>
      </c>
      <c r="D8310" s="2">
        <v>1</v>
      </c>
      <c r="E8310" t="str">
        <f>"4574674200923910"</f>
        <v>4574674200923910</v>
      </c>
      <c r="F8310" t="str">
        <f>"374"</f>
        <v>374</v>
      </c>
      <c r="G8310">
        <v>1</v>
      </c>
      <c r="H8310">
        <v>2023</v>
      </c>
      <c r="I8310" t="s">
        <v>8425</v>
      </c>
    </row>
    <row r="8311" spans="1:9" x14ac:dyDescent="0.3">
      <c r="A8311" t="s">
        <v>10126</v>
      </c>
      <c r="B8311" t="s">
        <v>18</v>
      </c>
      <c r="C8311">
        <v>7648876604</v>
      </c>
      <c r="D8311" s="2">
        <v>1</v>
      </c>
      <c r="E8311" t="str">
        <f>"4574674200924025"</f>
        <v>4574674200924025</v>
      </c>
      <c r="F8311" t="str">
        <f>"658"</f>
        <v>658</v>
      </c>
      <c r="G8311">
        <v>1</v>
      </c>
      <c r="H8311">
        <v>2023</v>
      </c>
      <c r="I8311" t="s">
        <v>8426</v>
      </c>
    </row>
    <row r="8312" spans="1:9" x14ac:dyDescent="0.3">
      <c r="A8312" t="s">
        <v>10126</v>
      </c>
      <c r="B8312" t="s">
        <v>18</v>
      </c>
      <c r="C8312">
        <v>7648876604</v>
      </c>
      <c r="D8312" s="2">
        <v>1</v>
      </c>
      <c r="E8312" t="str">
        <f>"4574674200924074"</f>
        <v>4574674200924074</v>
      </c>
      <c r="F8312" t="str">
        <f>"698"</f>
        <v>698</v>
      </c>
      <c r="G8312">
        <v>1</v>
      </c>
      <c r="H8312">
        <v>2023</v>
      </c>
      <c r="I8312" t="s">
        <v>8427</v>
      </c>
    </row>
    <row r="8313" spans="1:9" x14ac:dyDescent="0.3">
      <c r="A8313" t="s">
        <v>10126</v>
      </c>
      <c r="B8313" t="s">
        <v>18</v>
      </c>
      <c r="C8313">
        <v>7648876604</v>
      </c>
      <c r="D8313" s="2">
        <v>1</v>
      </c>
      <c r="E8313" t="str">
        <f>"4574674200923134"</f>
        <v>4574674200923134</v>
      </c>
      <c r="F8313" t="str">
        <f>"241"</f>
        <v>241</v>
      </c>
      <c r="G8313">
        <v>1</v>
      </c>
      <c r="H8313">
        <v>2023</v>
      </c>
      <c r="I8313" t="s">
        <v>8428</v>
      </c>
    </row>
    <row r="8314" spans="1:9" x14ac:dyDescent="0.3">
      <c r="A8314" t="s">
        <v>10126</v>
      </c>
      <c r="B8314" t="s">
        <v>18</v>
      </c>
      <c r="C8314">
        <v>7648876604</v>
      </c>
      <c r="D8314" s="2">
        <v>1</v>
      </c>
      <c r="E8314" t="str">
        <f>"4574674200924108"</f>
        <v>4574674200924108</v>
      </c>
      <c r="F8314" t="str">
        <f>"685"</f>
        <v>685</v>
      </c>
      <c r="G8314">
        <v>1</v>
      </c>
      <c r="H8314">
        <v>2023</v>
      </c>
      <c r="I8314" t="s">
        <v>8429</v>
      </c>
    </row>
    <row r="8315" spans="1:9" x14ac:dyDescent="0.3">
      <c r="A8315" t="s">
        <v>10126</v>
      </c>
      <c r="B8315" t="s">
        <v>18</v>
      </c>
      <c r="C8315">
        <v>7648876604</v>
      </c>
      <c r="D8315" s="2">
        <v>1</v>
      </c>
      <c r="E8315" t="str">
        <f>"4574674200924124"</f>
        <v>4574674200924124</v>
      </c>
      <c r="F8315" t="str">
        <f>"655"</f>
        <v>655</v>
      </c>
      <c r="G8315">
        <v>1</v>
      </c>
      <c r="H8315">
        <v>2023</v>
      </c>
      <c r="I8315" t="s">
        <v>8430</v>
      </c>
    </row>
    <row r="8316" spans="1:9" x14ac:dyDescent="0.3">
      <c r="A8316" t="s">
        <v>10127</v>
      </c>
      <c r="B8316" t="s">
        <v>19</v>
      </c>
      <c r="C8316">
        <v>7648876604</v>
      </c>
      <c r="D8316" s="2">
        <v>1</v>
      </c>
      <c r="E8316" t="str">
        <f>"4574674200924223"</f>
        <v>4574674200924223</v>
      </c>
      <c r="F8316" t="str">
        <f>"337"</f>
        <v>337</v>
      </c>
      <c r="G8316">
        <v>1</v>
      </c>
      <c r="H8316">
        <v>2023</v>
      </c>
      <c r="I8316" t="s">
        <v>8431</v>
      </c>
    </row>
    <row r="8317" spans="1:9" x14ac:dyDescent="0.3">
      <c r="A8317" t="s">
        <v>10127</v>
      </c>
      <c r="B8317" t="s">
        <v>19</v>
      </c>
      <c r="C8317">
        <v>7648876604</v>
      </c>
      <c r="D8317" s="2">
        <v>1</v>
      </c>
      <c r="E8317" t="str">
        <f>"4574674200924256"</f>
        <v>4574674200924256</v>
      </c>
      <c r="F8317" t="str">
        <f>"166"</f>
        <v>166</v>
      </c>
      <c r="G8317">
        <v>1</v>
      </c>
      <c r="H8317">
        <v>2023</v>
      </c>
      <c r="I8317" t="s">
        <v>8432</v>
      </c>
    </row>
    <row r="8318" spans="1:9" x14ac:dyDescent="0.3">
      <c r="A8318" t="s">
        <v>10127</v>
      </c>
      <c r="B8318" t="s">
        <v>19</v>
      </c>
      <c r="C8318">
        <v>7648876604</v>
      </c>
      <c r="D8318" s="2">
        <v>1</v>
      </c>
      <c r="E8318" t="str">
        <f>"4574674200923142"</f>
        <v>4574674200923142</v>
      </c>
      <c r="F8318" t="str">
        <f>"347"</f>
        <v>347</v>
      </c>
      <c r="G8318">
        <v>1</v>
      </c>
      <c r="H8318">
        <v>2023</v>
      </c>
      <c r="I8318" t="s">
        <v>8433</v>
      </c>
    </row>
    <row r="8319" spans="1:9" x14ac:dyDescent="0.3">
      <c r="A8319" t="s">
        <v>10127</v>
      </c>
      <c r="B8319" t="s">
        <v>19</v>
      </c>
      <c r="C8319">
        <v>7648876604</v>
      </c>
      <c r="D8319" s="2">
        <v>1</v>
      </c>
      <c r="E8319" t="str">
        <f>"4574674200923167"</f>
        <v>4574674200923167</v>
      </c>
      <c r="F8319" t="str">
        <f>"014"</f>
        <v>014</v>
      </c>
      <c r="G8319">
        <v>1</v>
      </c>
      <c r="H8319">
        <v>2023</v>
      </c>
      <c r="I8319" t="s">
        <v>8434</v>
      </c>
    </row>
    <row r="8320" spans="1:9" x14ac:dyDescent="0.3">
      <c r="A8320" t="s">
        <v>10127</v>
      </c>
      <c r="B8320" t="s">
        <v>19</v>
      </c>
      <c r="C8320">
        <v>7648876604</v>
      </c>
      <c r="D8320" s="2">
        <v>1</v>
      </c>
      <c r="E8320" t="str">
        <f>"4574674200924363"</f>
        <v>4574674200924363</v>
      </c>
      <c r="F8320" t="str">
        <f>"403"</f>
        <v>403</v>
      </c>
      <c r="G8320">
        <v>1</v>
      </c>
      <c r="H8320">
        <v>2023</v>
      </c>
      <c r="I8320" t="s">
        <v>8435</v>
      </c>
    </row>
    <row r="8321" spans="1:9" x14ac:dyDescent="0.3">
      <c r="A8321" t="s">
        <v>10127</v>
      </c>
      <c r="B8321" t="s">
        <v>19</v>
      </c>
      <c r="C8321">
        <v>7648876604</v>
      </c>
      <c r="D8321" s="2">
        <v>1</v>
      </c>
      <c r="E8321" t="str">
        <f>"4574674200924405"</f>
        <v>4574674200924405</v>
      </c>
      <c r="F8321" t="str">
        <f>"584"</f>
        <v>584</v>
      </c>
      <c r="G8321">
        <v>1</v>
      </c>
      <c r="H8321">
        <v>2023</v>
      </c>
      <c r="I8321" t="s">
        <v>8436</v>
      </c>
    </row>
    <row r="8322" spans="1:9" x14ac:dyDescent="0.3">
      <c r="A8322" t="s">
        <v>10127</v>
      </c>
      <c r="B8322" t="s">
        <v>19</v>
      </c>
      <c r="C8322">
        <v>7648876604</v>
      </c>
      <c r="D8322" s="2">
        <v>1</v>
      </c>
      <c r="E8322" t="str">
        <f>"4574674200924371"</f>
        <v>4574674200924371</v>
      </c>
      <c r="F8322" t="str">
        <f>"718"</f>
        <v>718</v>
      </c>
      <c r="G8322">
        <v>1</v>
      </c>
      <c r="H8322">
        <v>2023</v>
      </c>
      <c r="I8322" t="s">
        <v>8437</v>
      </c>
    </row>
    <row r="8323" spans="1:9" x14ac:dyDescent="0.3">
      <c r="A8323" t="s">
        <v>10127</v>
      </c>
      <c r="B8323" t="s">
        <v>19</v>
      </c>
      <c r="C8323">
        <v>7648876604</v>
      </c>
      <c r="D8323" s="2">
        <v>1</v>
      </c>
      <c r="E8323" t="str">
        <f>"4574674200924496"</f>
        <v>4574674200924496</v>
      </c>
      <c r="F8323" t="str">
        <f>"313"</f>
        <v>313</v>
      </c>
      <c r="G8323">
        <v>1</v>
      </c>
      <c r="H8323">
        <v>2023</v>
      </c>
      <c r="I8323" t="s">
        <v>8438</v>
      </c>
    </row>
    <row r="8324" spans="1:9" x14ac:dyDescent="0.3">
      <c r="A8324" t="s">
        <v>10127</v>
      </c>
      <c r="B8324" t="s">
        <v>19</v>
      </c>
      <c r="C8324">
        <v>7648876604</v>
      </c>
      <c r="D8324" s="2">
        <v>1</v>
      </c>
      <c r="E8324" t="str">
        <f>"4574674200924587"</f>
        <v>4574674200924587</v>
      </c>
      <c r="F8324" t="str">
        <f>"220"</f>
        <v>220</v>
      </c>
      <c r="G8324">
        <v>1</v>
      </c>
      <c r="H8324">
        <v>2023</v>
      </c>
      <c r="I8324" t="s">
        <v>8439</v>
      </c>
    </row>
    <row r="8325" spans="1:9" x14ac:dyDescent="0.3">
      <c r="A8325" t="s">
        <v>10127</v>
      </c>
      <c r="B8325" t="s">
        <v>19</v>
      </c>
      <c r="C8325">
        <v>7648876604</v>
      </c>
      <c r="D8325" s="2">
        <v>1</v>
      </c>
      <c r="E8325" t="str">
        <f>"4574674200924645"</f>
        <v>4574674200924645</v>
      </c>
      <c r="F8325" t="str">
        <f>"539"</f>
        <v>539</v>
      </c>
      <c r="G8325">
        <v>1</v>
      </c>
      <c r="H8325">
        <v>2023</v>
      </c>
      <c r="I8325" t="s">
        <v>8440</v>
      </c>
    </row>
    <row r="8326" spans="1:9" x14ac:dyDescent="0.3">
      <c r="A8326" t="s">
        <v>10128</v>
      </c>
      <c r="B8326" t="s">
        <v>20</v>
      </c>
      <c r="C8326">
        <v>7648876604</v>
      </c>
      <c r="D8326" s="2">
        <v>1</v>
      </c>
      <c r="E8326" t="str">
        <f>"4574674200924660"</f>
        <v>4574674200924660</v>
      </c>
      <c r="F8326" t="str">
        <f>"793"</f>
        <v>793</v>
      </c>
      <c r="G8326">
        <v>1</v>
      </c>
      <c r="H8326">
        <v>2023</v>
      </c>
      <c r="I8326" t="s">
        <v>8441</v>
      </c>
    </row>
    <row r="8327" spans="1:9" x14ac:dyDescent="0.3">
      <c r="A8327" t="s">
        <v>10128</v>
      </c>
      <c r="B8327" t="s">
        <v>20</v>
      </c>
      <c r="C8327">
        <v>7648876604</v>
      </c>
      <c r="D8327" s="2">
        <v>1</v>
      </c>
      <c r="E8327" t="str">
        <f>"4574674200924652"</f>
        <v>4574674200924652</v>
      </c>
      <c r="F8327" t="str">
        <f>"706"</f>
        <v>706</v>
      </c>
      <c r="G8327">
        <v>1</v>
      </c>
      <c r="H8327">
        <v>2023</v>
      </c>
      <c r="I8327" t="s">
        <v>8442</v>
      </c>
    </row>
    <row r="8328" spans="1:9" x14ac:dyDescent="0.3">
      <c r="A8328" t="s">
        <v>10128</v>
      </c>
      <c r="B8328" t="s">
        <v>20</v>
      </c>
      <c r="C8328">
        <v>7648876604</v>
      </c>
      <c r="D8328" s="2">
        <v>1</v>
      </c>
      <c r="E8328" t="str">
        <f>"4574674200924801"</f>
        <v>4574674200924801</v>
      </c>
      <c r="F8328" t="str">
        <f>"136"</f>
        <v>136</v>
      </c>
      <c r="G8328">
        <v>1</v>
      </c>
      <c r="H8328">
        <v>2023</v>
      </c>
      <c r="I8328" t="s">
        <v>8443</v>
      </c>
    </row>
    <row r="8329" spans="1:9" x14ac:dyDescent="0.3">
      <c r="A8329" t="s">
        <v>10128</v>
      </c>
      <c r="B8329" t="s">
        <v>20</v>
      </c>
      <c r="C8329">
        <v>7648876604</v>
      </c>
      <c r="D8329" s="2">
        <v>1</v>
      </c>
      <c r="E8329" t="str">
        <f>"4574674200925055"</f>
        <v>4574674200925055</v>
      </c>
      <c r="F8329" t="str">
        <f>"711"</f>
        <v>711</v>
      </c>
      <c r="G8329">
        <v>1</v>
      </c>
      <c r="H8329">
        <v>2023</v>
      </c>
      <c r="I8329" t="s">
        <v>8444</v>
      </c>
    </row>
    <row r="8330" spans="1:9" x14ac:dyDescent="0.3">
      <c r="A8330" t="s">
        <v>10128</v>
      </c>
      <c r="B8330" t="s">
        <v>20</v>
      </c>
      <c r="C8330">
        <v>7648876604</v>
      </c>
      <c r="D8330" s="2">
        <v>1</v>
      </c>
      <c r="E8330" t="str">
        <f>"4574674200925170"</f>
        <v>4574674200925170</v>
      </c>
      <c r="F8330" t="str">
        <f>"347"</f>
        <v>347</v>
      </c>
      <c r="G8330">
        <v>1</v>
      </c>
      <c r="H8330">
        <v>2023</v>
      </c>
      <c r="I8330" t="s">
        <v>8445</v>
      </c>
    </row>
    <row r="8331" spans="1:9" x14ac:dyDescent="0.3">
      <c r="A8331" t="s">
        <v>10128</v>
      </c>
      <c r="B8331" t="s">
        <v>20</v>
      </c>
      <c r="C8331">
        <v>7648876604</v>
      </c>
      <c r="D8331" s="2">
        <v>1</v>
      </c>
      <c r="E8331" t="str">
        <f>"4574674200925261"</f>
        <v>4574674200925261</v>
      </c>
      <c r="F8331" t="str">
        <f>"447"</f>
        <v>447</v>
      </c>
      <c r="G8331">
        <v>1</v>
      </c>
      <c r="H8331">
        <v>2023</v>
      </c>
      <c r="I8331" t="s">
        <v>8446</v>
      </c>
    </row>
    <row r="8332" spans="1:9" x14ac:dyDescent="0.3">
      <c r="A8332" t="s">
        <v>10128</v>
      </c>
      <c r="B8332" t="s">
        <v>20</v>
      </c>
      <c r="C8332">
        <v>7648876604</v>
      </c>
      <c r="D8332" s="2">
        <v>1</v>
      </c>
      <c r="E8332" t="str">
        <f>"4574674200925410"</f>
        <v>4574674200925410</v>
      </c>
      <c r="F8332" t="str">
        <f>"795"</f>
        <v>795</v>
      </c>
      <c r="G8332">
        <v>1</v>
      </c>
      <c r="H8332">
        <v>2023</v>
      </c>
      <c r="I8332" t="s">
        <v>8447</v>
      </c>
    </row>
    <row r="8333" spans="1:9" x14ac:dyDescent="0.3">
      <c r="A8333" t="s">
        <v>10128</v>
      </c>
      <c r="B8333" t="s">
        <v>20</v>
      </c>
      <c r="C8333">
        <v>7648876604</v>
      </c>
      <c r="D8333" s="2">
        <v>1</v>
      </c>
      <c r="E8333" t="str">
        <f>"4574674200925444"</f>
        <v>4574674200925444</v>
      </c>
      <c r="F8333" t="str">
        <f>"122"</f>
        <v>122</v>
      </c>
      <c r="G8333">
        <v>1</v>
      </c>
      <c r="H8333">
        <v>2023</v>
      </c>
      <c r="I8333" t="s">
        <v>8448</v>
      </c>
    </row>
    <row r="8334" spans="1:9" x14ac:dyDescent="0.3">
      <c r="A8334" t="s">
        <v>10128</v>
      </c>
      <c r="B8334" t="s">
        <v>20</v>
      </c>
      <c r="C8334">
        <v>7648876604</v>
      </c>
      <c r="D8334" s="2">
        <v>1</v>
      </c>
      <c r="E8334" t="str">
        <f>"4574674200925626"</f>
        <v>4574674200925626</v>
      </c>
      <c r="F8334" t="str">
        <f>"200"</f>
        <v>200</v>
      </c>
      <c r="G8334">
        <v>1</v>
      </c>
      <c r="H8334">
        <v>2023</v>
      </c>
      <c r="I8334" t="s">
        <v>8449</v>
      </c>
    </row>
    <row r="8335" spans="1:9" x14ac:dyDescent="0.3">
      <c r="A8335" t="s">
        <v>10128</v>
      </c>
      <c r="B8335" t="s">
        <v>20</v>
      </c>
      <c r="C8335">
        <v>7648876604</v>
      </c>
      <c r="D8335" s="2">
        <v>1</v>
      </c>
      <c r="E8335" t="str">
        <f>"4574674200925824"</f>
        <v>4574674200925824</v>
      </c>
      <c r="F8335" t="str">
        <f>"547"</f>
        <v>547</v>
      </c>
      <c r="G8335">
        <v>1</v>
      </c>
      <c r="H8335">
        <v>2023</v>
      </c>
      <c r="I8335" t="s">
        <v>8450</v>
      </c>
    </row>
    <row r="8336" spans="1:9" x14ac:dyDescent="0.3">
      <c r="A8336" t="s">
        <v>10129</v>
      </c>
      <c r="B8336" t="s">
        <v>21</v>
      </c>
      <c r="C8336">
        <v>7648876604</v>
      </c>
      <c r="D8336" s="2">
        <v>1</v>
      </c>
      <c r="E8336" t="str">
        <f>"4574674200924975"</f>
        <v>4574674200924975</v>
      </c>
      <c r="F8336" t="str">
        <f>"499"</f>
        <v>499</v>
      </c>
      <c r="G8336">
        <v>1</v>
      </c>
      <c r="H8336">
        <v>2023</v>
      </c>
      <c r="I8336" t="s">
        <v>8451</v>
      </c>
    </row>
    <row r="8337" spans="1:9" x14ac:dyDescent="0.3">
      <c r="A8337" t="s">
        <v>10129</v>
      </c>
      <c r="B8337" t="s">
        <v>21</v>
      </c>
      <c r="C8337">
        <v>7648876604</v>
      </c>
      <c r="D8337" s="2">
        <v>1</v>
      </c>
      <c r="E8337" t="str">
        <f>"4574674200926046"</f>
        <v>4574674200926046</v>
      </c>
      <c r="F8337" t="str">
        <f>"989"</f>
        <v>989</v>
      </c>
      <c r="G8337">
        <v>1</v>
      </c>
      <c r="H8337">
        <v>2023</v>
      </c>
      <c r="I8337" t="s">
        <v>8452</v>
      </c>
    </row>
    <row r="8338" spans="1:9" x14ac:dyDescent="0.3">
      <c r="A8338" t="s">
        <v>10129</v>
      </c>
      <c r="B8338" t="s">
        <v>21</v>
      </c>
      <c r="C8338">
        <v>7648876604</v>
      </c>
      <c r="D8338" s="2">
        <v>1</v>
      </c>
      <c r="E8338" t="str">
        <f>"4574674200926053"</f>
        <v>4574674200926053</v>
      </c>
      <c r="F8338" t="str">
        <f>"222"</f>
        <v>222</v>
      </c>
      <c r="G8338">
        <v>1</v>
      </c>
      <c r="H8338">
        <v>2023</v>
      </c>
      <c r="I8338" t="s">
        <v>8453</v>
      </c>
    </row>
    <row r="8339" spans="1:9" x14ac:dyDescent="0.3">
      <c r="A8339" t="s">
        <v>10129</v>
      </c>
      <c r="B8339" t="s">
        <v>21</v>
      </c>
      <c r="C8339">
        <v>7648876604</v>
      </c>
      <c r="D8339" s="2">
        <v>1</v>
      </c>
      <c r="E8339" t="str">
        <f>"4574674200926087"</f>
        <v>4574674200926087</v>
      </c>
      <c r="F8339" t="str">
        <f>"294"</f>
        <v>294</v>
      </c>
      <c r="G8339">
        <v>1</v>
      </c>
      <c r="H8339">
        <v>2023</v>
      </c>
      <c r="I8339" t="s">
        <v>8454</v>
      </c>
    </row>
    <row r="8340" spans="1:9" x14ac:dyDescent="0.3">
      <c r="A8340" t="s">
        <v>10129</v>
      </c>
      <c r="B8340" t="s">
        <v>21</v>
      </c>
      <c r="C8340">
        <v>7648876604</v>
      </c>
      <c r="D8340" s="2">
        <v>1</v>
      </c>
      <c r="E8340" t="str">
        <f>"4574674200924991"</f>
        <v>4574674200924991</v>
      </c>
      <c r="F8340" t="str">
        <f>"102"</f>
        <v>102</v>
      </c>
      <c r="G8340">
        <v>1</v>
      </c>
      <c r="H8340">
        <v>2023</v>
      </c>
      <c r="I8340" t="s">
        <v>8455</v>
      </c>
    </row>
    <row r="8341" spans="1:9" x14ac:dyDescent="0.3">
      <c r="A8341" t="s">
        <v>10129</v>
      </c>
      <c r="B8341" t="s">
        <v>21</v>
      </c>
      <c r="C8341">
        <v>7648876604</v>
      </c>
      <c r="D8341" s="2">
        <v>1</v>
      </c>
      <c r="E8341" t="str">
        <f>"4574674200926152"</f>
        <v>4574674200926152</v>
      </c>
      <c r="F8341" t="str">
        <f>"716"</f>
        <v>716</v>
      </c>
      <c r="G8341">
        <v>1</v>
      </c>
      <c r="H8341">
        <v>2023</v>
      </c>
      <c r="I8341" t="s">
        <v>8456</v>
      </c>
    </row>
    <row r="8342" spans="1:9" x14ac:dyDescent="0.3">
      <c r="A8342" t="s">
        <v>10129</v>
      </c>
      <c r="B8342" t="s">
        <v>21</v>
      </c>
      <c r="C8342">
        <v>7648876604</v>
      </c>
      <c r="D8342" s="2">
        <v>1</v>
      </c>
      <c r="E8342" t="str">
        <f>"4574674200926210"</f>
        <v>4574674200926210</v>
      </c>
      <c r="F8342" t="str">
        <f>"405"</f>
        <v>405</v>
      </c>
      <c r="G8342">
        <v>1</v>
      </c>
      <c r="H8342">
        <v>2023</v>
      </c>
      <c r="I8342" t="s">
        <v>8457</v>
      </c>
    </row>
    <row r="8343" spans="1:9" x14ac:dyDescent="0.3">
      <c r="A8343" t="s">
        <v>10129</v>
      </c>
      <c r="B8343" t="s">
        <v>21</v>
      </c>
      <c r="C8343">
        <v>7648876604</v>
      </c>
      <c r="D8343" s="2">
        <v>1</v>
      </c>
      <c r="E8343" t="str">
        <f>"4574674200926418"</f>
        <v>4574674200926418</v>
      </c>
      <c r="F8343" t="str">
        <f>"816"</f>
        <v>816</v>
      </c>
      <c r="G8343">
        <v>1</v>
      </c>
      <c r="H8343">
        <v>2023</v>
      </c>
      <c r="I8343" t="s">
        <v>8458</v>
      </c>
    </row>
    <row r="8344" spans="1:9" x14ac:dyDescent="0.3">
      <c r="A8344" t="s">
        <v>10129</v>
      </c>
      <c r="B8344" t="s">
        <v>21</v>
      </c>
      <c r="C8344">
        <v>7648876604</v>
      </c>
      <c r="D8344" s="2">
        <v>1</v>
      </c>
      <c r="E8344" t="str">
        <f>"4574674200926459"</f>
        <v>4574674200926459</v>
      </c>
      <c r="F8344" t="str">
        <f>"589"</f>
        <v>589</v>
      </c>
      <c r="G8344">
        <v>1</v>
      </c>
      <c r="H8344">
        <v>2023</v>
      </c>
      <c r="I8344" t="s">
        <v>8459</v>
      </c>
    </row>
    <row r="8345" spans="1:9" x14ac:dyDescent="0.3">
      <c r="A8345" t="s">
        <v>10129</v>
      </c>
      <c r="B8345" t="s">
        <v>21</v>
      </c>
      <c r="C8345">
        <v>7648876604</v>
      </c>
      <c r="D8345" s="2">
        <v>1</v>
      </c>
      <c r="E8345" t="str">
        <f>"4574674200926475"</f>
        <v>4574674200926475</v>
      </c>
      <c r="F8345" t="str">
        <f>"806"</f>
        <v>806</v>
      </c>
      <c r="G8345">
        <v>1</v>
      </c>
      <c r="H8345">
        <v>2023</v>
      </c>
      <c r="I8345" t="s">
        <v>8460</v>
      </c>
    </row>
    <row r="8346" spans="1:9" x14ac:dyDescent="0.3">
      <c r="A8346" t="s">
        <v>10130</v>
      </c>
      <c r="B8346" t="s">
        <v>22</v>
      </c>
      <c r="C8346">
        <v>7648876604</v>
      </c>
      <c r="D8346" s="2">
        <v>1</v>
      </c>
      <c r="E8346" t="str">
        <f>"4574674200926517"</f>
        <v>4574674200926517</v>
      </c>
      <c r="F8346" t="str">
        <f>"801"</f>
        <v>801</v>
      </c>
      <c r="G8346">
        <v>1</v>
      </c>
      <c r="H8346">
        <v>2023</v>
      </c>
      <c r="I8346" t="s">
        <v>8461</v>
      </c>
    </row>
    <row r="8347" spans="1:9" x14ac:dyDescent="0.3">
      <c r="A8347" t="s">
        <v>10130</v>
      </c>
      <c r="B8347" t="s">
        <v>22</v>
      </c>
      <c r="C8347">
        <v>7648876604</v>
      </c>
      <c r="D8347" s="2">
        <v>1</v>
      </c>
      <c r="E8347" t="str">
        <f>"4574674200926616"</f>
        <v>4574674200926616</v>
      </c>
      <c r="F8347" t="str">
        <f>"185"</f>
        <v>185</v>
      </c>
      <c r="G8347">
        <v>1</v>
      </c>
      <c r="H8347">
        <v>2023</v>
      </c>
      <c r="I8347" t="s">
        <v>8462</v>
      </c>
    </row>
    <row r="8348" spans="1:9" x14ac:dyDescent="0.3">
      <c r="A8348" t="s">
        <v>10130</v>
      </c>
      <c r="B8348" t="s">
        <v>22</v>
      </c>
      <c r="C8348">
        <v>7648876604</v>
      </c>
      <c r="D8348" s="2">
        <v>1</v>
      </c>
      <c r="E8348" t="str">
        <f>"4574674200926657"</f>
        <v>4574674200926657</v>
      </c>
      <c r="F8348" t="str">
        <f>"780"</f>
        <v>780</v>
      </c>
      <c r="G8348">
        <v>1</v>
      </c>
      <c r="H8348">
        <v>2023</v>
      </c>
      <c r="I8348" t="s">
        <v>8463</v>
      </c>
    </row>
    <row r="8349" spans="1:9" x14ac:dyDescent="0.3">
      <c r="A8349" t="s">
        <v>10130</v>
      </c>
      <c r="B8349" t="s">
        <v>22</v>
      </c>
      <c r="C8349">
        <v>7648876604</v>
      </c>
      <c r="D8349" s="2">
        <v>1</v>
      </c>
      <c r="E8349" t="str">
        <f>"4574674200926673"</f>
        <v>4574674200926673</v>
      </c>
      <c r="F8349" t="str">
        <f>"201"</f>
        <v>201</v>
      </c>
      <c r="G8349">
        <v>1</v>
      </c>
      <c r="H8349">
        <v>2023</v>
      </c>
      <c r="I8349" t="s">
        <v>8464</v>
      </c>
    </row>
    <row r="8350" spans="1:9" x14ac:dyDescent="0.3">
      <c r="A8350" t="s">
        <v>10130</v>
      </c>
      <c r="B8350" t="s">
        <v>22</v>
      </c>
      <c r="C8350">
        <v>7648876604</v>
      </c>
      <c r="D8350" s="2">
        <v>1</v>
      </c>
      <c r="E8350" t="str">
        <f>"4574674200926798"</f>
        <v>4574674200926798</v>
      </c>
      <c r="F8350" t="str">
        <f>"203"</f>
        <v>203</v>
      </c>
      <c r="G8350">
        <v>1</v>
      </c>
      <c r="H8350">
        <v>2023</v>
      </c>
      <c r="I8350" t="s">
        <v>8465</v>
      </c>
    </row>
    <row r="8351" spans="1:9" x14ac:dyDescent="0.3">
      <c r="A8351" t="s">
        <v>10130</v>
      </c>
      <c r="B8351" t="s">
        <v>22</v>
      </c>
      <c r="C8351">
        <v>7648876604</v>
      </c>
      <c r="D8351" s="2">
        <v>1</v>
      </c>
      <c r="E8351" t="str">
        <f>"4574674200926236"</f>
        <v>4574674200926236</v>
      </c>
      <c r="F8351" t="str">
        <f>"372"</f>
        <v>372</v>
      </c>
      <c r="G8351">
        <v>1</v>
      </c>
      <c r="H8351">
        <v>2023</v>
      </c>
      <c r="I8351" t="s">
        <v>8466</v>
      </c>
    </row>
    <row r="8352" spans="1:9" x14ac:dyDescent="0.3">
      <c r="A8352" t="s">
        <v>10130</v>
      </c>
      <c r="B8352" t="s">
        <v>22</v>
      </c>
      <c r="C8352">
        <v>7648876604</v>
      </c>
      <c r="D8352" s="2">
        <v>1</v>
      </c>
      <c r="E8352" t="str">
        <f>"4574674200926251"</f>
        <v>4574674200926251</v>
      </c>
      <c r="F8352" t="str">
        <f>"085"</f>
        <v>085</v>
      </c>
      <c r="G8352">
        <v>1</v>
      </c>
      <c r="H8352">
        <v>2023</v>
      </c>
      <c r="I8352" t="s">
        <v>8467</v>
      </c>
    </row>
    <row r="8353" spans="1:9" x14ac:dyDescent="0.3">
      <c r="A8353" t="s">
        <v>10130</v>
      </c>
      <c r="B8353" t="s">
        <v>22</v>
      </c>
      <c r="C8353">
        <v>7648876604</v>
      </c>
      <c r="D8353" s="2">
        <v>1</v>
      </c>
      <c r="E8353" t="str">
        <f>"4574674200926822"</f>
        <v>4574674200926822</v>
      </c>
      <c r="F8353" t="str">
        <f>"560"</f>
        <v>560</v>
      </c>
      <c r="G8353">
        <v>1</v>
      </c>
      <c r="H8353">
        <v>2023</v>
      </c>
      <c r="I8353" t="s">
        <v>8468</v>
      </c>
    </row>
    <row r="8354" spans="1:9" x14ac:dyDescent="0.3">
      <c r="A8354" t="s">
        <v>10130</v>
      </c>
      <c r="B8354" t="s">
        <v>22</v>
      </c>
      <c r="C8354">
        <v>7648876604</v>
      </c>
      <c r="D8354" s="2">
        <v>1</v>
      </c>
      <c r="E8354" t="str">
        <f>"4574674200926830"</f>
        <v>4574674200926830</v>
      </c>
      <c r="F8354" t="str">
        <f>"818"</f>
        <v>818</v>
      </c>
      <c r="G8354">
        <v>1</v>
      </c>
      <c r="H8354">
        <v>2023</v>
      </c>
      <c r="I8354" t="s">
        <v>8469</v>
      </c>
    </row>
    <row r="8355" spans="1:9" x14ac:dyDescent="0.3">
      <c r="A8355" t="s">
        <v>10130</v>
      </c>
      <c r="B8355" t="s">
        <v>22</v>
      </c>
      <c r="C8355">
        <v>7648876604</v>
      </c>
      <c r="D8355" s="2">
        <v>1</v>
      </c>
      <c r="E8355" t="str">
        <f>"4574674200926269"</f>
        <v>4574674200926269</v>
      </c>
      <c r="F8355" t="str">
        <f>"528"</f>
        <v>528</v>
      </c>
      <c r="G8355">
        <v>1</v>
      </c>
      <c r="H8355">
        <v>2023</v>
      </c>
      <c r="I8355" t="s">
        <v>8470</v>
      </c>
    </row>
    <row r="8356" spans="1:9" x14ac:dyDescent="0.3">
      <c r="A8356" t="s">
        <v>10131</v>
      </c>
      <c r="B8356" t="s">
        <v>23</v>
      </c>
      <c r="C8356">
        <v>7648876604</v>
      </c>
      <c r="D8356" s="2">
        <v>1</v>
      </c>
      <c r="E8356" t="str">
        <f>"4574674200926905"</f>
        <v>4574674200926905</v>
      </c>
      <c r="F8356" t="str">
        <f>"761"</f>
        <v>761</v>
      </c>
      <c r="G8356">
        <v>1</v>
      </c>
      <c r="H8356">
        <v>2023</v>
      </c>
      <c r="I8356" t="s">
        <v>8471</v>
      </c>
    </row>
    <row r="8357" spans="1:9" x14ac:dyDescent="0.3">
      <c r="A8357" t="s">
        <v>10131</v>
      </c>
      <c r="B8357" t="s">
        <v>23</v>
      </c>
      <c r="C8357">
        <v>7648876604</v>
      </c>
      <c r="D8357" s="2">
        <v>1</v>
      </c>
      <c r="E8357" t="str">
        <f>"4574674200926970"</f>
        <v>4574674200926970</v>
      </c>
      <c r="F8357" t="str">
        <f>"066"</f>
        <v>066</v>
      </c>
      <c r="G8357">
        <v>1</v>
      </c>
      <c r="H8357">
        <v>2023</v>
      </c>
      <c r="I8357" t="s">
        <v>8472</v>
      </c>
    </row>
    <row r="8358" spans="1:9" x14ac:dyDescent="0.3">
      <c r="A8358" t="s">
        <v>10131</v>
      </c>
      <c r="B8358" t="s">
        <v>23</v>
      </c>
      <c r="C8358">
        <v>7648876604</v>
      </c>
      <c r="D8358" s="2">
        <v>1</v>
      </c>
      <c r="E8358" t="str">
        <f>"4574674200927077"</f>
        <v>4574674200927077</v>
      </c>
      <c r="F8358" t="str">
        <f>"389"</f>
        <v>389</v>
      </c>
      <c r="G8358">
        <v>1</v>
      </c>
      <c r="H8358">
        <v>2023</v>
      </c>
      <c r="I8358" t="s">
        <v>8473</v>
      </c>
    </row>
    <row r="8359" spans="1:9" x14ac:dyDescent="0.3">
      <c r="A8359" t="s">
        <v>10131</v>
      </c>
      <c r="B8359" t="s">
        <v>23</v>
      </c>
      <c r="C8359">
        <v>7648876604</v>
      </c>
      <c r="D8359" s="2">
        <v>1</v>
      </c>
      <c r="E8359" t="str">
        <f>"4574674200927093"</f>
        <v>4574674200927093</v>
      </c>
      <c r="F8359" t="str">
        <f>"269"</f>
        <v>269</v>
      </c>
      <c r="G8359">
        <v>1</v>
      </c>
      <c r="H8359">
        <v>2023</v>
      </c>
      <c r="I8359" t="s">
        <v>8474</v>
      </c>
    </row>
    <row r="8360" spans="1:9" x14ac:dyDescent="0.3">
      <c r="A8360" t="s">
        <v>10131</v>
      </c>
      <c r="B8360" t="s">
        <v>23</v>
      </c>
      <c r="C8360">
        <v>7648876604</v>
      </c>
      <c r="D8360" s="2">
        <v>1</v>
      </c>
      <c r="E8360" t="str">
        <f>"4574674200927143"</f>
        <v>4574674200927143</v>
      </c>
      <c r="F8360" t="str">
        <f>"370"</f>
        <v>370</v>
      </c>
      <c r="G8360">
        <v>1</v>
      </c>
      <c r="H8360">
        <v>2023</v>
      </c>
      <c r="I8360" t="s">
        <v>8475</v>
      </c>
    </row>
    <row r="8361" spans="1:9" x14ac:dyDescent="0.3">
      <c r="A8361" t="s">
        <v>10131</v>
      </c>
      <c r="B8361" t="s">
        <v>23</v>
      </c>
      <c r="C8361">
        <v>7648876604</v>
      </c>
      <c r="D8361" s="2">
        <v>1</v>
      </c>
      <c r="E8361" t="str">
        <f>"4574674200926293"</f>
        <v>4574674200926293</v>
      </c>
      <c r="F8361" t="str">
        <f>"435"</f>
        <v>435</v>
      </c>
      <c r="G8361">
        <v>1</v>
      </c>
      <c r="H8361">
        <v>2023</v>
      </c>
      <c r="I8361" t="s">
        <v>8476</v>
      </c>
    </row>
    <row r="8362" spans="1:9" x14ac:dyDescent="0.3">
      <c r="A8362" t="s">
        <v>10131</v>
      </c>
      <c r="B8362" t="s">
        <v>23</v>
      </c>
      <c r="C8362">
        <v>7648876604</v>
      </c>
      <c r="D8362" s="2">
        <v>1</v>
      </c>
      <c r="E8362" t="str">
        <f>"4574674200927200"</f>
        <v>4574674200927200</v>
      </c>
      <c r="F8362" t="str">
        <f>"581"</f>
        <v>581</v>
      </c>
      <c r="G8362">
        <v>1</v>
      </c>
      <c r="H8362">
        <v>2023</v>
      </c>
      <c r="I8362" t="s">
        <v>8477</v>
      </c>
    </row>
    <row r="8363" spans="1:9" x14ac:dyDescent="0.3">
      <c r="A8363" t="s">
        <v>10131</v>
      </c>
      <c r="B8363" t="s">
        <v>23</v>
      </c>
      <c r="C8363">
        <v>7648876604</v>
      </c>
      <c r="D8363" s="2">
        <v>1</v>
      </c>
      <c r="E8363" t="str">
        <f>"4574674200927234"</f>
        <v>4574674200927234</v>
      </c>
      <c r="F8363" t="str">
        <f>"479"</f>
        <v>479</v>
      </c>
      <c r="G8363">
        <v>1</v>
      </c>
      <c r="H8363">
        <v>2023</v>
      </c>
      <c r="I8363" t="s">
        <v>8478</v>
      </c>
    </row>
    <row r="8364" spans="1:9" x14ac:dyDescent="0.3">
      <c r="A8364" t="s">
        <v>10131</v>
      </c>
      <c r="B8364" t="s">
        <v>23</v>
      </c>
      <c r="C8364">
        <v>7648876604</v>
      </c>
      <c r="D8364" s="2">
        <v>1</v>
      </c>
      <c r="E8364" t="str">
        <f>"4574674200927283"</f>
        <v>4574674200927283</v>
      </c>
      <c r="F8364" t="str">
        <f>"217"</f>
        <v>217</v>
      </c>
      <c r="G8364">
        <v>1</v>
      </c>
      <c r="H8364">
        <v>2023</v>
      </c>
      <c r="I8364" t="s">
        <v>8479</v>
      </c>
    </row>
    <row r="8365" spans="1:9" x14ac:dyDescent="0.3">
      <c r="A8365" t="s">
        <v>10131</v>
      </c>
      <c r="B8365" t="s">
        <v>23</v>
      </c>
      <c r="C8365">
        <v>7648876604</v>
      </c>
      <c r="D8365" s="2">
        <v>1</v>
      </c>
      <c r="E8365" t="str">
        <f>"4574674200926301"</f>
        <v>4574674200926301</v>
      </c>
      <c r="F8365" t="str">
        <f>"617"</f>
        <v>617</v>
      </c>
      <c r="G8365">
        <v>1</v>
      </c>
      <c r="H8365">
        <v>2023</v>
      </c>
      <c r="I8365" t="s">
        <v>8480</v>
      </c>
    </row>
    <row r="8366" spans="1:9" x14ac:dyDescent="0.3">
      <c r="A8366" t="s">
        <v>10132</v>
      </c>
      <c r="B8366" t="s">
        <v>24</v>
      </c>
      <c r="C8366">
        <v>7648876604</v>
      </c>
      <c r="D8366" s="2">
        <v>1</v>
      </c>
      <c r="E8366" t="str">
        <f>"4574674200927358"</f>
        <v>4574674200927358</v>
      </c>
      <c r="F8366" t="str">
        <f>"504"</f>
        <v>504</v>
      </c>
      <c r="G8366">
        <v>1</v>
      </c>
      <c r="H8366">
        <v>2023</v>
      </c>
      <c r="I8366" t="s">
        <v>8481</v>
      </c>
    </row>
    <row r="8367" spans="1:9" x14ac:dyDescent="0.3">
      <c r="A8367" t="s">
        <v>10132</v>
      </c>
      <c r="B8367" t="s">
        <v>24</v>
      </c>
      <c r="C8367">
        <v>7648876604</v>
      </c>
      <c r="D8367" s="2">
        <v>1</v>
      </c>
      <c r="E8367" t="str">
        <f>"4574674200927416"</f>
        <v>4574674200927416</v>
      </c>
      <c r="F8367" t="str">
        <f>"914"</f>
        <v>914</v>
      </c>
      <c r="G8367">
        <v>1</v>
      </c>
      <c r="H8367">
        <v>2023</v>
      </c>
      <c r="I8367" t="s">
        <v>8482</v>
      </c>
    </row>
    <row r="8368" spans="1:9" x14ac:dyDescent="0.3">
      <c r="A8368" t="s">
        <v>10132</v>
      </c>
      <c r="B8368" t="s">
        <v>24</v>
      </c>
      <c r="C8368">
        <v>7648876604</v>
      </c>
      <c r="D8368" s="2">
        <v>1</v>
      </c>
      <c r="E8368" t="str">
        <f>"4574674200927457"</f>
        <v>4574674200927457</v>
      </c>
      <c r="F8368" t="str">
        <f>"874"</f>
        <v>874</v>
      </c>
      <c r="G8368">
        <v>1</v>
      </c>
      <c r="H8368">
        <v>2023</v>
      </c>
      <c r="I8368" t="s">
        <v>8483</v>
      </c>
    </row>
    <row r="8369" spans="1:9" x14ac:dyDescent="0.3">
      <c r="A8369" t="s">
        <v>10132</v>
      </c>
      <c r="B8369" t="s">
        <v>24</v>
      </c>
      <c r="C8369">
        <v>7648876604</v>
      </c>
      <c r="D8369" s="2">
        <v>1</v>
      </c>
      <c r="E8369" t="str">
        <f>"4574674200926327"</f>
        <v>4574674200926327</v>
      </c>
      <c r="F8369" t="str">
        <f>"479"</f>
        <v>479</v>
      </c>
      <c r="G8369">
        <v>1</v>
      </c>
      <c r="H8369">
        <v>2023</v>
      </c>
      <c r="I8369" t="s">
        <v>8484</v>
      </c>
    </row>
    <row r="8370" spans="1:9" x14ac:dyDescent="0.3">
      <c r="A8370" t="s">
        <v>10132</v>
      </c>
      <c r="B8370" t="s">
        <v>24</v>
      </c>
      <c r="C8370">
        <v>7648876604</v>
      </c>
      <c r="D8370" s="2">
        <v>1</v>
      </c>
      <c r="E8370" t="str">
        <f>"4574674200927515"</f>
        <v>4574674200927515</v>
      </c>
      <c r="F8370" t="str">
        <f>"435"</f>
        <v>435</v>
      </c>
      <c r="G8370">
        <v>1</v>
      </c>
      <c r="H8370">
        <v>2023</v>
      </c>
      <c r="I8370" t="s">
        <v>8485</v>
      </c>
    </row>
    <row r="8371" spans="1:9" x14ac:dyDescent="0.3">
      <c r="A8371" t="s">
        <v>10132</v>
      </c>
      <c r="B8371" t="s">
        <v>24</v>
      </c>
      <c r="C8371">
        <v>7648876604</v>
      </c>
      <c r="D8371" s="2">
        <v>1</v>
      </c>
      <c r="E8371" t="str">
        <f>"4574674200927549"</f>
        <v>4574674200927549</v>
      </c>
      <c r="F8371" t="str">
        <f>"545"</f>
        <v>545</v>
      </c>
      <c r="G8371">
        <v>1</v>
      </c>
      <c r="H8371">
        <v>2023</v>
      </c>
      <c r="I8371" t="s">
        <v>8486</v>
      </c>
    </row>
    <row r="8372" spans="1:9" x14ac:dyDescent="0.3">
      <c r="A8372" t="s">
        <v>10132</v>
      </c>
      <c r="B8372" t="s">
        <v>24</v>
      </c>
      <c r="C8372">
        <v>7648876604</v>
      </c>
      <c r="D8372" s="2">
        <v>1</v>
      </c>
      <c r="E8372" t="str">
        <f>"4574674200926343"</f>
        <v>4574674200926343</v>
      </c>
      <c r="F8372" t="str">
        <f>"413"</f>
        <v>413</v>
      </c>
      <c r="G8372">
        <v>1</v>
      </c>
      <c r="H8372">
        <v>2023</v>
      </c>
      <c r="I8372" t="s">
        <v>8487</v>
      </c>
    </row>
    <row r="8373" spans="1:9" x14ac:dyDescent="0.3">
      <c r="A8373" t="s">
        <v>10132</v>
      </c>
      <c r="B8373" t="s">
        <v>24</v>
      </c>
      <c r="C8373">
        <v>7648876604</v>
      </c>
      <c r="D8373" s="2">
        <v>1</v>
      </c>
      <c r="E8373" t="str">
        <f>"4574674200927630"</f>
        <v>4574674200927630</v>
      </c>
      <c r="F8373" t="str">
        <f>"901"</f>
        <v>901</v>
      </c>
      <c r="G8373">
        <v>1</v>
      </c>
      <c r="H8373">
        <v>2023</v>
      </c>
      <c r="I8373" t="s">
        <v>8488</v>
      </c>
    </row>
    <row r="8374" spans="1:9" x14ac:dyDescent="0.3">
      <c r="A8374" t="s">
        <v>10132</v>
      </c>
      <c r="B8374" t="s">
        <v>24</v>
      </c>
      <c r="C8374">
        <v>7648876604</v>
      </c>
      <c r="D8374" s="2">
        <v>1</v>
      </c>
      <c r="E8374" t="str">
        <f>"4574674200927655"</f>
        <v>4574674200927655</v>
      </c>
      <c r="F8374" t="str">
        <f>"419"</f>
        <v>419</v>
      </c>
      <c r="G8374">
        <v>1</v>
      </c>
      <c r="H8374">
        <v>2023</v>
      </c>
      <c r="I8374" t="s">
        <v>8489</v>
      </c>
    </row>
    <row r="8375" spans="1:9" x14ac:dyDescent="0.3">
      <c r="A8375" t="s">
        <v>10132</v>
      </c>
      <c r="B8375" t="s">
        <v>24</v>
      </c>
      <c r="C8375">
        <v>7648876604</v>
      </c>
      <c r="D8375" s="2">
        <v>1</v>
      </c>
      <c r="E8375" t="str">
        <f>"4574674200927713"</f>
        <v>4574674200927713</v>
      </c>
      <c r="F8375" t="str">
        <f>"387"</f>
        <v>387</v>
      </c>
      <c r="G8375">
        <v>1</v>
      </c>
      <c r="H8375">
        <v>2023</v>
      </c>
      <c r="I8375" t="s">
        <v>8490</v>
      </c>
    </row>
    <row r="8376" spans="1:9" x14ac:dyDescent="0.3">
      <c r="A8376" t="s">
        <v>10133</v>
      </c>
      <c r="B8376" t="s">
        <v>25</v>
      </c>
      <c r="C8376">
        <v>7648876604</v>
      </c>
      <c r="D8376" s="2">
        <v>1</v>
      </c>
      <c r="E8376" t="str">
        <f>"4574674200927820"</f>
        <v>4574674200927820</v>
      </c>
      <c r="F8376" t="str">
        <f>"845"</f>
        <v>845</v>
      </c>
      <c r="G8376">
        <v>1</v>
      </c>
      <c r="H8376">
        <v>2023</v>
      </c>
      <c r="I8376" t="s">
        <v>8491</v>
      </c>
    </row>
    <row r="8377" spans="1:9" x14ac:dyDescent="0.3">
      <c r="A8377" t="s">
        <v>10133</v>
      </c>
      <c r="B8377" t="s">
        <v>25</v>
      </c>
      <c r="C8377">
        <v>7648876604</v>
      </c>
      <c r="D8377" s="2">
        <v>1</v>
      </c>
      <c r="E8377" t="str">
        <f>"4574674200927846"</f>
        <v>4574674200927846</v>
      </c>
      <c r="F8377" t="str">
        <f>"794"</f>
        <v>794</v>
      </c>
      <c r="G8377">
        <v>1</v>
      </c>
      <c r="H8377">
        <v>2023</v>
      </c>
      <c r="I8377" t="s">
        <v>8492</v>
      </c>
    </row>
    <row r="8378" spans="1:9" x14ac:dyDescent="0.3">
      <c r="A8378" t="s">
        <v>10133</v>
      </c>
      <c r="B8378" t="s">
        <v>25</v>
      </c>
      <c r="C8378">
        <v>7648876604</v>
      </c>
      <c r="D8378" s="2">
        <v>1</v>
      </c>
      <c r="E8378" t="str">
        <f>"4574674200927960"</f>
        <v>4574674200927960</v>
      </c>
      <c r="F8378" t="str">
        <f>"695"</f>
        <v>695</v>
      </c>
      <c r="G8378">
        <v>1</v>
      </c>
      <c r="H8378">
        <v>2023</v>
      </c>
      <c r="I8378" t="s">
        <v>8493</v>
      </c>
    </row>
    <row r="8379" spans="1:9" x14ac:dyDescent="0.3">
      <c r="A8379" t="s">
        <v>10133</v>
      </c>
      <c r="B8379" t="s">
        <v>25</v>
      </c>
      <c r="C8379">
        <v>7648876604</v>
      </c>
      <c r="D8379" s="2">
        <v>1</v>
      </c>
      <c r="E8379" t="str">
        <f>"4574674200928141"</f>
        <v>4574674200928141</v>
      </c>
      <c r="F8379" t="str">
        <f>"902"</f>
        <v>902</v>
      </c>
      <c r="G8379">
        <v>1</v>
      </c>
      <c r="H8379">
        <v>2023</v>
      </c>
      <c r="I8379" t="s">
        <v>8494</v>
      </c>
    </row>
    <row r="8380" spans="1:9" x14ac:dyDescent="0.3">
      <c r="A8380" t="s">
        <v>10133</v>
      </c>
      <c r="B8380" t="s">
        <v>25</v>
      </c>
      <c r="C8380">
        <v>7648876604</v>
      </c>
      <c r="D8380" s="2">
        <v>1</v>
      </c>
      <c r="E8380" t="str">
        <f>"4574674200928125"</f>
        <v>4574674200928125</v>
      </c>
      <c r="F8380" t="str">
        <f>"210"</f>
        <v>210</v>
      </c>
      <c r="G8380">
        <v>1</v>
      </c>
      <c r="H8380">
        <v>2023</v>
      </c>
      <c r="I8380" t="s">
        <v>8495</v>
      </c>
    </row>
    <row r="8381" spans="1:9" x14ac:dyDescent="0.3">
      <c r="A8381" t="s">
        <v>10133</v>
      </c>
      <c r="B8381" t="s">
        <v>25</v>
      </c>
      <c r="C8381">
        <v>7648876604</v>
      </c>
      <c r="D8381" s="2">
        <v>1</v>
      </c>
      <c r="E8381" t="str">
        <f>"4574674200928166"</f>
        <v>4574674200928166</v>
      </c>
      <c r="F8381" t="str">
        <f>"912"</f>
        <v>912</v>
      </c>
      <c r="G8381">
        <v>1</v>
      </c>
      <c r="H8381">
        <v>2023</v>
      </c>
      <c r="I8381" t="s">
        <v>8496</v>
      </c>
    </row>
    <row r="8382" spans="1:9" x14ac:dyDescent="0.3">
      <c r="A8382" t="s">
        <v>10133</v>
      </c>
      <c r="B8382" t="s">
        <v>25</v>
      </c>
      <c r="C8382">
        <v>7648876604</v>
      </c>
      <c r="D8382" s="2">
        <v>1</v>
      </c>
      <c r="E8382" t="str">
        <f>"4574674200928232"</f>
        <v>4574674200928232</v>
      </c>
      <c r="F8382" t="str">
        <f>"877"</f>
        <v>877</v>
      </c>
      <c r="G8382">
        <v>1</v>
      </c>
      <c r="H8382">
        <v>2023</v>
      </c>
      <c r="I8382" t="s">
        <v>8497</v>
      </c>
    </row>
    <row r="8383" spans="1:9" x14ac:dyDescent="0.3">
      <c r="A8383" t="s">
        <v>10133</v>
      </c>
      <c r="B8383" t="s">
        <v>25</v>
      </c>
      <c r="C8383">
        <v>7648876604</v>
      </c>
      <c r="D8383" s="2">
        <v>1</v>
      </c>
      <c r="E8383" t="str">
        <f>"4574674200928257"</f>
        <v>4574674200928257</v>
      </c>
      <c r="F8383" t="str">
        <f>"450"</f>
        <v>450</v>
      </c>
      <c r="G8383">
        <v>1</v>
      </c>
      <c r="H8383">
        <v>2023</v>
      </c>
      <c r="I8383" t="s">
        <v>8498</v>
      </c>
    </row>
    <row r="8384" spans="1:9" x14ac:dyDescent="0.3">
      <c r="A8384" t="s">
        <v>10133</v>
      </c>
      <c r="B8384" t="s">
        <v>25</v>
      </c>
      <c r="C8384">
        <v>7648876604</v>
      </c>
      <c r="D8384" s="2">
        <v>1</v>
      </c>
      <c r="E8384" t="str">
        <f>"4574674200928588"</f>
        <v>4574674200928588</v>
      </c>
      <c r="F8384" t="str">
        <f>"049"</f>
        <v>049</v>
      </c>
      <c r="G8384">
        <v>1</v>
      </c>
      <c r="H8384">
        <v>2023</v>
      </c>
      <c r="I8384" t="s">
        <v>8499</v>
      </c>
    </row>
    <row r="8385" spans="1:9" x14ac:dyDescent="0.3">
      <c r="A8385" t="s">
        <v>10133</v>
      </c>
      <c r="B8385" t="s">
        <v>25</v>
      </c>
      <c r="C8385">
        <v>7648876604</v>
      </c>
      <c r="D8385" s="2">
        <v>1</v>
      </c>
      <c r="E8385" t="str">
        <f>"4574674200928596"</f>
        <v>4574674200928596</v>
      </c>
      <c r="F8385" t="str">
        <f>"155"</f>
        <v>155</v>
      </c>
      <c r="G8385">
        <v>1</v>
      </c>
      <c r="H8385">
        <v>2023</v>
      </c>
      <c r="I8385" t="s">
        <v>8500</v>
      </c>
    </row>
    <row r="8386" spans="1:9" x14ac:dyDescent="0.3">
      <c r="A8386" t="s">
        <v>10134</v>
      </c>
      <c r="B8386" t="s">
        <v>26</v>
      </c>
      <c r="C8386">
        <v>7648876604</v>
      </c>
      <c r="D8386" s="2">
        <v>1</v>
      </c>
      <c r="E8386" t="str">
        <f>"4574674200928687"</f>
        <v>4574674200928687</v>
      </c>
      <c r="F8386" t="str">
        <f>"439"</f>
        <v>439</v>
      </c>
      <c r="G8386">
        <v>1</v>
      </c>
      <c r="H8386">
        <v>2023</v>
      </c>
      <c r="I8386" t="s">
        <v>8501</v>
      </c>
    </row>
    <row r="8387" spans="1:9" x14ac:dyDescent="0.3">
      <c r="A8387" t="s">
        <v>10134</v>
      </c>
      <c r="B8387" t="s">
        <v>26</v>
      </c>
      <c r="C8387">
        <v>7648876604</v>
      </c>
      <c r="D8387" s="2">
        <v>1</v>
      </c>
      <c r="E8387" t="str">
        <f>"4574674200928273"</f>
        <v>4574674200928273</v>
      </c>
      <c r="F8387" t="str">
        <f>"574"</f>
        <v>574</v>
      </c>
      <c r="G8387">
        <v>1</v>
      </c>
      <c r="H8387">
        <v>2023</v>
      </c>
      <c r="I8387" t="s">
        <v>8502</v>
      </c>
    </row>
    <row r="8388" spans="1:9" x14ac:dyDescent="0.3">
      <c r="A8388" t="s">
        <v>10134</v>
      </c>
      <c r="B8388" t="s">
        <v>26</v>
      </c>
      <c r="C8388">
        <v>7648876604</v>
      </c>
      <c r="D8388" s="2">
        <v>1</v>
      </c>
      <c r="E8388" t="str">
        <f>"4574674200928778"</f>
        <v>4574674200928778</v>
      </c>
      <c r="F8388" t="str">
        <f>"145"</f>
        <v>145</v>
      </c>
      <c r="G8388">
        <v>1</v>
      </c>
      <c r="H8388">
        <v>2023</v>
      </c>
      <c r="I8388" t="s">
        <v>8503</v>
      </c>
    </row>
    <row r="8389" spans="1:9" x14ac:dyDescent="0.3">
      <c r="A8389" t="s">
        <v>10134</v>
      </c>
      <c r="B8389" t="s">
        <v>26</v>
      </c>
      <c r="C8389">
        <v>7648876604</v>
      </c>
      <c r="D8389" s="2">
        <v>1</v>
      </c>
      <c r="E8389" t="str">
        <f>"4574674200928810"</f>
        <v>4574674200928810</v>
      </c>
      <c r="F8389" t="str">
        <f>"821"</f>
        <v>821</v>
      </c>
      <c r="G8389">
        <v>1</v>
      </c>
      <c r="H8389">
        <v>2023</v>
      </c>
      <c r="I8389" t="s">
        <v>8504</v>
      </c>
    </row>
    <row r="8390" spans="1:9" x14ac:dyDescent="0.3">
      <c r="A8390" t="s">
        <v>10134</v>
      </c>
      <c r="B8390" t="s">
        <v>26</v>
      </c>
      <c r="C8390">
        <v>7648876604</v>
      </c>
      <c r="D8390" s="2">
        <v>1</v>
      </c>
      <c r="E8390" t="str">
        <f>"4574674200928307"</f>
        <v>4574674200928307</v>
      </c>
      <c r="F8390" t="str">
        <f>"776"</f>
        <v>776</v>
      </c>
      <c r="G8390">
        <v>1</v>
      </c>
      <c r="H8390">
        <v>2023</v>
      </c>
      <c r="I8390" t="s">
        <v>8505</v>
      </c>
    </row>
    <row r="8391" spans="1:9" x14ac:dyDescent="0.3">
      <c r="A8391" t="s">
        <v>10134</v>
      </c>
      <c r="B8391" t="s">
        <v>26</v>
      </c>
      <c r="C8391">
        <v>7648876604</v>
      </c>
      <c r="D8391" s="2">
        <v>1</v>
      </c>
      <c r="E8391" t="str">
        <f>"4574674200928315"</f>
        <v>4574674200928315</v>
      </c>
      <c r="F8391" t="str">
        <f>"385"</f>
        <v>385</v>
      </c>
      <c r="G8391">
        <v>1</v>
      </c>
      <c r="H8391">
        <v>2023</v>
      </c>
      <c r="I8391" t="s">
        <v>8506</v>
      </c>
    </row>
    <row r="8392" spans="1:9" x14ac:dyDescent="0.3">
      <c r="A8392" t="s">
        <v>10134</v>
      </c>
      <c r="B8392" t="s">
        <v>26</v>
      </c>
      <c r="C8392">
        <v>7648876604</v>
      </c>
      <c r="D8392" s="2">
        <v>1</v>
      </c>
      <c r="E8392" t="str">
        <f>"4574674200928950"</f>
        <v>4574674200928950</v>
      </c>
      <c r="F8392" t="str">
        <f>"616"</f>
        <v>616</v>
      </c>
      <c r="G8392">
        <v>1</v>
      </c>
      <c r="H8392">
        <v>2023</v>
      </c>
      <c r="I8392" t="s">
        <v>8507</v>
      </c>
    </row>
    <row r="8393" spans="1:9" x14ac:dyDescent="0.3">
      <c r="A8393" t="s">
        <v>10134</v>
      </c>
      <c r="B8393" t="s">
        <v>26</v>
      </c>
      <c r="C8393">
        <v>7648876604</v>
      </c>
      <c r="D8393" s="2">
        <v>1</v>
      </c>
      <c r="E8393" t="str">
        <f>"4574674200928992"</f>
        <v>4574674200928992</v>
      </c>
      <c r="F8393" t="str">
        <f>"639"</f>
        <v>639</v>
      </c>
      <c r="G8393">
        <v>1</v>
      </c>
      <c r="H8393">
        <v>2023</v>
      </c>
      <c r="I8393" t="s">
        <v>8508</v>
      </c>
    </row>
    <row r="8394" spans="1:9" x14ac:dyDescent="0.3">
      <c r="A8394" t="s">
        <v>10134</v>
      </c>
      <c r="B8394" t="s">
        <v>26</v>
      </c>
      <c r="C8394">
        <v>7648876604</v>
      </c>
      <c r="D8394" s="2">
        <v>1</v>
      </c>
      <c r="E8394" t="str">
        <f>"4574674200929016"</f>
        <v>4574674200929016</v>
      </c>
      <c r="F8394" t="str">
        <f>"297"</f>
        <v>297</v>
      </c>
      <c r="G8394">
        <v>1</v>
      </c>
      <c r="H8394">
        <v>2023</v>
      </c>
      <c r="I8394" t="s">
        <v>8509</v>
      </c>
    </row>
    <row r="8395" spans="1:9" x14ac:dyDescent="0.3">
      <c r="A8395" t="s">
        <v>10134</v>
      </c>
      <c r="B8395" t="s">
        <v>26</v>
      </c>
      <c r="C8395">
        <v>7648876604</v>
      </c>
      <c r="D8395" s="2">
        <v>1</v>
      </c>
      <c r="E8395" t="str">
        <f>"4574674200929024"</f>
        <v>4574674200929024</v>
      </c>
      <c r="F8395" t="str">
        <f>"728"</f>
        <v>728</v>
      </c>
      <c r="G8395">
        <v>1</v>
      </c>
      <c r="H8395">
        <v>2023</v>
      </c>
      <c r="I8395" t="s">
        <v>8510</v>
      </c>
    </row>
    <row r="8396" spans="1:9" x14ac:dyDescent="0.3">
      <c r="A8396" t="s">
        <v>10135</v>
      </c>
      <c r="B8396" t="s">
        <v>27</v>
      </c>
      <c r="C8396">
        <v>7648876604</v>
      </c>
      <c r="D8396" s="2">
        <v>1</v>
      </c>
      <c r="E8396" t="str">
        <f>"4574674200928331"</f>
        <v>4574674200928331</v>
      </c>
      <c r="F8396" t="str">
        <f>"180"</f>
        <v>180</v>
      </c>
      <c r="G8396">
        <v>1</v>
      </c>
      <c r="H8396">
        <v>2023</v>
      </c>
      <c r="I8396" t="s">
        <v>8511</v>
      </c>
    </row>
    <row r="8397" spans="1:9" x14ac:dyDescent="0.3">
      <c r="A8397" t="s">
        <v>10135</v>
      </c>
      <c r="B8397" t="s">
        <v>27</v>
      </c>
      <c r="C8397">
        <v>7648876604</v>
      </c>
      <c r="D8397" s="2">
        <v>1</v>
      </c>
      <c r="E8397" t="str">
        <f>"4574674200929065"</f>
        <v>4574674200929065</v>
      </c>
      <c r="F8397" t="str">
        <f>"776"</f>
        <v>776</v>
      </c>
      <c r="G8397">
        <v>1</v>
      </c>
      <c r="H8397">
        <v>2023</v>
      </c>
      <c r="I8397" t="s">
        <v>8512</v>
      </c>
    </row>
    <row r="8398" spans="1:9" x14ac:dyDescent="0.3">
      <c r="A8398" t="s">
        <v>10135</v>
      </c>
      <c r="B8398" t="s">
        <v>27</v>
      </c>
      <c r="C8398">
        <v>7648876604</v>
      </c>
      <c r="D8398" s="2">
        <v>1</v>
      </c>
      <c r="E8398" t="str">
        <f>"4574674200929206"</f>
        <v>4574674200929206</v>
      </c>
      <c r="F8398" t="str">
        <f>"660"</f>
        <v>660</v>
      </c>
      <c r="G8398">
        <v>1</v>
      </c>
      <c r="H8398">
        <v>2023</v>
      </c>
      <c r="I8398" t="s">
        <v>8513</v>
      </c>
    </row>
    <row r="8399" spans="1:9" x14ac:dyDescent="0.3">
      <c r="A8399" t="s">
        <v>10135</v>
      </c>
      <c r="B8399" t="s">
        <v>27</v>
      </c>
      <c r="C8399">
        <v>7648876604</v>
      </c>
      <c r="D8399" s="2">
        <v>1</v>
      </c>
      <c r="E8399" t="str">
        <f>"4574674200929222"</f>
        <v>4574674200929222</v>
      </c>
      <c r="F8399" t="str">
        <f>"715"</f>
        <v>715</v>
      </c>
      <c r="G8399">
        <v>1</v>
      </c>
      <c r="H8399">
        <v>2023</v>
      </c>
      <c r="I8399" t="s">
        <v>8514</v>
      </c>
    </row>
    <row r="8400" spans="1:9" x14ac:dyDescent="0.3">
      <c r="A8400" t="s">
        <v>10135</v>
      </c>
      <c r="B8400" t="s">
        <v>27</v>
      </c>
      <c r="C8400">
        <v>7648876604</v>
      </c>
      <c r="D8400" s="2">
        <v>1</v>
      </c>
      <c r="E8400" t="str">
        <f>"4574674200929214"</f>
        <v>4574674200929214</v>
      </c>
      <c r="F8400" t="str">
        <f>"970"</f>
        <v>970</v>
      </c>
      <c r="G8400">
        <v>1</v>
      </c>
      <c r="H8400">
        <v>2023</v>
      </c>
      <c r="I8400" t="s">
        <v>8515</v>
      </c>
    </row>
    <row r="8401" spans="1:9" x14ac:dyDescent="0.3">
      <c r="A8401" t="s">
        <v>10135</v>
      </c>
      <c r="B8401" t="s">
        <v>27</v>
      </c>
      <c r="C8401">
        <v>7648876604</v>
      </c>
      <c r="D8401" s="2">
        <v>1</v>
      </c>
      <c r="E8401" t="str">
        <f>"4574674200929388"</f>
        <v>4574674200929388</v>
      </c>
      <c r="F8401" t="str">
        <f>"266"</f>
        <v>266</v>
      </c>
      <c r="G8401">
        <v>1</v>
      </c>
      <c r="H8401">
        <v>2023</v>
      </c>
      <c r="I8401" t="s">
        <v>8516</v>
      </c>
    </row>
    <row r="8402" spans="1:9" x14ac:dyDescent="0.3">
      <c r="A8402" t="s">
        <v>10135</v>
      </c>
      <c r="B8402" t="s">
        <v>27</v>
      </c>
      <c r="C8402">
        <v>7648876604</v>
      </c>
      <c r="D8402" s="2">
        <v>1</v>
      </c>
      <c r="E8402" t="str">
        <f>"4574674200929370"</f>
        <v>4574674200929370</v>
      </c>
      <c r="F8402" t="str">
        <f>"659"</f>
        <v>659</v>
      </c>
      <c r="G8402">
        <v>1</v>
      </c>
      <c r="H8402">
        <v>2023</v>
      </c>
      <c r="I8402" t="s">
        <v>8517</v>
      </c>
    </row>
    <row r="8403" spans="1:9" x14ac:dyDescent="0.3">
      <c r="A8403" t="s">
        <v>10135</v>
      </c>
      <c r="B8403" t="s">
        <v>27</v>
      </c>
      <c r="C8403">
        <v>7648876604</v>
      </c>
      <c r="D8403" s="2">
        <v>1</v>
      </c>
      <c r="E8403" t="str">
        <f>"4574674200929644"</f>
        <v>4574674200929644</v>
      </c>
      <c r="F8403" t="str">
        <f>"467"</f>
        <v>467</v>
      </c>
      <c r="G8403">
        <v>1</v>
      </c>
      <c r="H8403">
        <v>2023</v>
      </c>
      <c r="I8403" t="s">
        <v>8518</v>
      </c>
    </row>
    <row r="8404" spans="1:9" x14ac:dyDescent="0.3">
      <c r="A8404" t="s">
        <v>10135</v>
      </c>
      <c r="B8404" t="s">
        <v>27</v>
      </c>
      <c r="C8404">
        <v>7648876604</v>
      </c>
      <c r="D8404" s="2">
        <v>1</v>
      </c>
      <c r="E8404" t="str">
        <f>"4574674200929453"</f>
        <v>4574674200929453</v>
      </c>
      <c r="F8404" t="str">
        <f>"609"</f>
        <v>609</v>
      </c>
      <c r="G8404">
        <v>1</v>
      </c>
      <c r="H8404">
        <v>2023</v>
      </c>
      <c r="I8404" t="s">
        <v>8519</v>
      </c>
    </row>
    <row r="8405" spans="1:9" x14ac:dyDescent="0.3">
      <c r="A8405" t="s">
        <v>10135</v>
      </c>
      <c r="B8405" t="s">
        <v>27</v>
      </c>
      <c r="C8405">
        <v>7648876604</v>
      </c>
      <c r="D8405" s="2">
        <v>1</v>
      </c>
      <c r="E8405" t="str">
        <f>"4574674200929719"</f>
        <v>4574674200929719</v>
      </c>
      <c r="F8405" t="str">
        <f>"122"</f>
        <v>122</v>
      </c>
      <c r="G8405">
        <v>1</v>
      </c>
      <c r="H8405">
        <v>2023</v>
      </c>
      <c r="I8405" t="s">
        <v>8520</v>
      </c>
    </row>
    <row r="8406" spans="1:9" x14ac:dyDescent="0.3">
      <c r="A8406" t="s">
        <v>10136</v>
      </c>
      <c r="B8406" t="s">
        <v>28</v>
      </c>
      <c r="C8406">
        <v>7648876604</v>
      </c>
      <c r="D8406" s="2">
        <v>1</v>
      </c>
      <c r="E8406" t="str">
        <f>"4574674200929867"</f>
        <v>4574674200929867</v>
      </c>
      <c r="F8406" t="str">
        <f>"216"</f>
        <v>216</v>
      </c>
      <c r="G8406">
        <v>1</v>
      </c>
      <c r="H8406">
        <v>2023</v>
      </c>
      <c r="I8406" t="s">
        <v>8521</v>
      </c>
    </row>
    <row r="8407" spans="1:9" x14ac:dyDescent="0.3">
      <c r="A8407" t="s">
        <v>10136</v>
      </c>
      <c r="B8407" t="s">
        <v>28</v>
      </c>
      <c r="C8407">
        <v>7648876604</v>
      </c>
      <c r="D8407" s="2">
        <v>1</v>
      </c>
      <c r="E8407" t="str">
        <f>"4574674200929487"</f>
        <v>4574674200929487</v>
      </c>
      <c r="F8407" t="str">
        <f>"518"</f>
        <v>518</v>
      </c>
      <c r="G8407">
        <v>1</v>
      </c>
      <c r="H8407">
        <v>2023</v>
      </c>
      <c r="I8407" t="s">
        <v>8522</v>
      </c>
    </row>
    <row r="8408" spans="1:9" x14ac:dyDescent="0.3">
      <c r="A8408" t="s">
        <v>10136</v>
      </c>
      <c r="B8408" t="s">
        <v>28</v>
      </c>
      <c r="C8408">
        <v>7648876604</v>
      </c>
      <c r="D8408" s="2">
        <v>1</v>
      </c>
      <c r="E8408" t="str">
        <f>"4574674200929479"</f>
        <v>4574674200929479</v>
      </c>
      <c r="F8408" t="str">
        <f>"008"</f>
        <v>008</v>
      </c>
      <c r="G8408">
        <v>1</v>
      </c>
      <c r="H8408">
        <v>2023</v>
      </c>
      <c r="I8408" t="s">
        <v>8523</v>
      </c>
    </row>
    <row r="8409" spans="1:9" x14ac:dyDescent="0.3">
      <c r="A8409" t="s">
        <v>10136</v>
      </c>
      <c r="B8409" t="s">
        <v>28</v>
      </c>
      <c r="C8409">
        <v>7648876604</v>
      </c>
      <c r="D8409" s="2">
        <v>1</v>
      </c>
      <c r="E8409" t="str">
        <f>"4574674200929990"</f>
        <v>4574674200929990</v>
      </c>
      <c r="F8409" t="str">
        <f>"854"</f>
        <v>854</v>
      </c>
      <c r="G8409">
        <v>1</v>
      </c>
      <c r="H8409">
        <v>2023</v>
      </c>
      <c r="I8409" t="s">
        <v>8524</v>
      </c>
    </row>
    <row r="8410" spans="1:9" x14ac:dyDescent="0.3">
      <c r="A8410" t="s">
        <v>10136</v>
      </c>
      <c r="B8410" t="s">
        <v>28</v>
      </c>
      <c r="C8410">
        <v>7648876604</v>
      </c>
      <c r="D8410" s="2">
        <v>1</v>
      </c>
      <c r="E8410" t="str">
        <f>"4574674200930055"</f>
        <v>4574674200930055</v>
      </c>
      <c r="F8410" t="str">
        <f>"263"</f>
        <v>263</v>
      </c>
      <c r="G8410">
        <v>1</v>
      </c>
      <c r="H8410">
        <v>2023</v>
      </c>
      <c r="I8410" t="s">
        <v>8525</v>
      </c>
    </row>
    <row r="8411" spans="1:9" x14ac:dyDescent="0.3">
      <c r="A8411" t="s">
        <v>10136</v>
      </c>
      <c r="B8411" t="s">
        <v>28</v>
      </c>
      <c r="C8411">
        <v>7648876604</v>
      </c>
      <c r="D8411" s="2">
        <v>1</v>
      </c>
      <c r="E8411" t="str">
        <f>"4574674200930071"</f>
        <v>4574674200930071</v>
      </c>
      <c r="F8411" t="str">
        <f>"795"</f>
        <v>795</v>
      </c>
      <c r="G8411">
        <v>1</v>
      </c>
      <c r="H8411">
        <v>2023</v>
      </c>
      <c r="I8411" t="s">
        <v>8526</v>
      </c>
    </row>
    <row r="8412" spans="1:9" x14ac:dyDescent="0.3">
      <c r="A8412" t="s">
        <v>10136</v>
      </c>
      <c r="B8412" t="s">
        <v>28</v>
      </c>
      <c r="C8412">
        <v>7648876604</v>
      </c>
      <c r="D8412" s="2">
        <v>1</v>
      </c>
      <c r="E8412" t="str">
        <f>"4574674200930105"</f>
        <v>4574674200930105</v>
      </c>
      <c r="F8412" t="str">
        <f>"830"</f>
        <v>830</v>
      </c>
      <c r="G8412">
        <v>1</v>
      </c>
      <c r="H8412">
        <v>2023</v>
      </c>
      <c r="I8412" t="s">
        <v>8527</v>
      </c>
    </row>
    <row r="8413" spans="1:9" x14ac:dyDescent="0.3">
      <c r="A8413" t="s">
        <v>10136</v>
      </c>
      <c r="B8413" t="s">
        <v>28</v>
      </c>
      <c r="C8413">
        <v>7648876604</v>
      </c>
      <c r="D8413" s="2">
        <v>1</v>
      </c>
      <c r="E8413" t="str">
        <f>"4574674200929511"</f>
        <v>4574674200929511</v>
      </c>
      <c r="F8413" t="str">
        <f>"519"</f>
        <v>519</v>
      </c>
      <c r="G8413">
        <v>1</v>
      </c>
      <c r="H8413">
        <v>2023</v>
      </c>
      <c r="I8413" t="s">
        <v>8528</v>
      </c>
    </row>
    <row r="8414" spans="1:9" x14ac:dyDescent="0.3">
      <c r="A8414" t="s">
        <v>10136</v>
      </c>
      <c r="B8414" t="s">
        <v>28</v>
      </c>
      <c r="C8414">
        <v>7648876604</v>
      </c>
      <c r="D8414" s="2">
        <v>1</v>
      </c>
      <c r="E8414" t="str">
        <f>"4574674200930139"</f>
        <v>4574674200930139</v>
      </c>
      <c r="F8414" t="str">
        <f>"968"</f>
        <v>968</v>
      </c>
      <c r="G8414">
        <v>1</v>
      </c>
      <c r="H8414">
        <v>2023</v>
      </c>
      <c r="I8414" t="s">
        <v>8529</v>
      </c>
    </row>
    <row r="8415" spans="1:9" x14ac:dyDescent="0.3">
      <c r="A8415" t="s">
        <v>10136</v>
      </c>
      <c r="B8415" t="s">
        <v>28</v>
      </c>
      <c r="C8415">
        <v>7648876604</v>
      </c>
      <c r="D8415" s="2">
        <v>1</v>
      </c>
      <c r="E8415" t="str">
        <f>"4574674200930287"</f>
        <v>4574674200930287</v>
      </c>
      <c r="F8415" t="str">
        <f>"114"</f>
        <v>114</v>
      </c>
      <c r="G8415">
        <v>1</v>
      </c>
      <c r="H8415">
        <v>2023</v>
      </c>
      <c r="I8415" t="s">
        <v>8530</v>
      </c>
    </row>
    <row r="8416" spans="1:9" x14ac:dyDescent="0.3">
      <c r="A8416" t="s">
        <v>10137</v>
      </c>
      <c r="B8416" t="s">
        <v>29</v>
      </c>
      <c r="C8416">
        <v>7648876604</v>
      </c>
      <c r="D8416" s="2">
        <v>1</v>
      </c>
      <c r="E8416" t="str">
        <f>"4574674200930303"</f>
        <v>4574674200930303</v>
      </c>
      <c r="F8416" t="str">
        <f>"060"</f>
        <v>060</v>
      </c>
      <c r="G8416">
        <v>1</v>
      </c>
      <c r="H8416">
        <v>2023</v>
      </c>
      <c r="I8416" t="s">
        <v>8531</v>
      </c>
    </row>
    <row r="8417" spans="1:9" x14ac:dyDescent="0.3">
      <c r="A8417" t="s">
        <v>10137</v>
      </c>
      <c r="B8417" t="s">
        <v>29</v>
      </c>
      <c r="C8417">
        <v>7648876604</v>
      </c>
      <c r="D8417" s="2">
        <v>1</v>
      </c>
      <c r="E8417" t="str">
        <f>"4574674200929537"</f>
        <v>4574674200929537</v>
      </c>
      <c r="F8417" t="str">
        <f>"710"</f>
        <v>710</v>
      </c>
      <c r="G8417">
        <v>1</v>
      </c>
      <c r="H8417">
        <v>2023</v>
      </c>
      <c r="I8417" t="s">
        <v>8532</v>
      </c>
    </row>
    <row r="8418" spans="1:9" x14ac:dyDescent="0.3">
      <c r="A8418" t="s">
        <v>10137</v>
      </c>
      <c r="B8418" t="s">
        <v>29</v>
      </c>
      <c r="C8418">
        <v>7648876604</v>
      </c>
      <c r="D8418" s="2">
        <v>1</v>
      </c>
      <c r="E8418" t="str">
        <f>"4574674200929545"</f>
        <v>4574674200929545</v>
      </c>
      <c r="F8418" t="str">
        <f>"172"</f>
        <v>172</v>
      </c>
      <c r="G8418">
        <v>1</v>
      </c>
      <c r="H8418">
        <v>2023</v>
      </c>
      <c r="I8418" t="s">
        <v>8533</v>
      </c>
    </row>
    <row r="8419" spans="1:9" x14ac:dyDescent="0.3">
      <c r="A8419" t="s">
        <v>10137</v>
      </c>
      <c r="B8419" t="s">
        <v>29</v>
      </c>
      <c r="C8419">
        <v>7648876604</v>
      </c>
      <c r="D8419" s="2">
        <v>1</v>
      </c>
      <c r="E8419" t="str">
        <f>"4574674200929560"</f>
        <v>4574674200929560</v>
      </c>
      <c r="F8419" t="str">
        <f>"413"</f>
        <v>413</v>
      </c>
      <c r="G8419">
        <v>1</v>
      </c>
      <c r="H8419">
        <v>2023</v>
      </c>
      <c r="I8419" t="s">
        <v>8534</v>
      </c>
    </row>
    <row r="8420" spans="1:9" x14ac:dyDescent="0.3">
      <c r="A8420" t="s">
        <v>10137</v>
      </c>
      <c r="B8420" t="s">
        <v>29</v>
      </c>
      <c r="C8420">
        <v>7648876604</v>
      </c>
      <c r="D8420" s="2">
        <v>1</v>
      </c>
      <c r="E8420" t="str">
        <f>"4574674200930410"</f>
        <v>4574674200930410</v>
      </c>
      <c r="F8420" t="str">
        <f>"448"</f>
        <v>448</v>
      </c>
      <c r="G8420">
        <v>1</v>
      </c>
      <c r="H8420">
        <v>2023</v>
      </c>
      <c r="I8420" t="s">
        <v>8535</v>
      </c>
    </row>
    <row r="8421" spans="1:9" x14ac:dyDescent="0.3">
      <c r="A8421" t="s">
        <v>10137</v>
      </c>
      <c r="B8421" t="s">
        <v>29</v>
      </c>
      <c r="C8421">
        <v>7648876604</v>
      </c>
      <c r="D8421" s="2">
        <v>1</v>
      </c>
      <c r="E8421" t="str">
        <f>"4574674200930543"</f>
        <v>4574674200930543</v>
      </c>
      <c r="F8421" t="str">
        <f>"127"</f>
        <v>127</v>
      </c>
      <c r="G8421">
        <v>1</v>
      </c>
      <c r="H8421">
        <v>2023</v>
      </c>
      <c r="I8421" t="s">
        <v>8536</v>
      </c>
    </row>
    <row r="8422" spans="1:9" x14ac:dyDescent="0.3">
      <c r="A8422" t="s">
        <v>10137</v>
      </c>
      <c r="B8422" t="s">
        <v>29</v>
      </c>
      <c r="C8422">
        <v>7648876604</v>
      </c>
      <c r="D8422" s="2">
        <v>1</v>
      </c>
      <c r="E8422" t="str">
        <f>"4574674200930626"</f>
        <v>4574674200930626</v>
      </c>
      <c r="F8422" t="str">
        <f>"608"</f>
        <v>608</v>
      </c>
      <c r="G8422">
        <v>1</v>
      </c>
      <c r="H8422">
        <v>2023</v>
      </c>
      <c r="I8422" t="s">
        <v>8537</v>
      </c>
    </row>
    <row r="8423" spans="1:9" x14ac:dyDescent="0.3">
      <c r="A8423" t="s">
        <v>10137</v>
      </c>
      <c r="B8423" t="s">
        <v>29</v>
      </c>
      <c r="C8423">
        <v>7648876604</v>
      </c>
      <c r="D8423" s="2">
        <v>1</v>
      </c>
      <c r="E8423" t="str">
        <f>"4574674200930766"</f>
        <v>4574674200930766</v>
      </c>
      <c r="F8423" t="str">
        <f>"777"</f>
        <v>777</v>
      </c>
      <c r="G8423">
        <v>1</v>
      </c>
      <c r="H8423">
        <v>2023</v>
      </c>
      <c r="I8423" t="s">
        <v>8538</v>
      </c>
    </row>
    <row r="8424" spans="1:9" x14ac:dyDescent="0.3">
      <c r="A8424" t="s">
        <v>10137</v>
      </c>
      <c r="B8424" t="s">
        <v>29</v>
      </c>
      <c r="C8424">
        <v>7648876604</v>
      </c>
      <c r="D8424" s="2">
        <v>1</v>
      </c>
      <c r="E8424" t="str">
        <f>"4574674200930808"</f>
        <v>4574674200930808</v>
      </c>
      <c r="F8424" t="str">
        <f>"256"</f>
        <v>256</v>
      </c>
      <c r="G8424">
        <v>1</v>
      </c>
      <c r="H8424">
        <v>2023</v>
      </c>
      <c r="I8424" t="s">
        <v>8539</v>
      </c>
    </row>
    <row r="8425" spans="1:9" x14ac:dyDescent="0.3">
      <c r="A8425" t="s">
        <v>10137</v>
      </c>
      <c r="B8425" t="s">
        <v>29</v>
      </c>
      <c r="C8425">
        <v>7648876604</v>
      </c>
      <c r="D8425" s="2">
        <v>1</v>
      </c>
      <c r="E8425" t="str">
        <f>"4574674200930824"</f>
        <v>4574674200930824</v>
      </c>
      <c r="F8425" t="str">
        <f>"707"</f>
        <v>707</v>
      </c>
      <c r="G8425">
        <v>1</v>
      </c>
      <c r="H8425">
        <v>2023</v>
      </c>
      <c r="I8425" t="s">
        <v>8540</v>
      </c>
    </row>
    <row r="8426" spans="1:9" x14ac:dyDescent="0.3">
      <c r="A8426" t="s">
        <v>10138</v>
      </c>
      <c r="B8426" t="s">
        <v>30</v>
      </c>
      <c r="C8426">
        <v>7648876604</v>
      </c>
      <c r="D8426" s="2">
        <v>1</v>
      </c>
      <c r="E8426" t="str">
        <f>"4574674200930972"</f>
        <v>4574674200930972</v>
      </c>
      <c r="F8426" t="str">
        <f>"573"</f>
        <v>573</v>
      </c>
      <c r="G8426">
        <v>1</v>
      </c>
      <c r="H8426">
        <v>2023</v>
      </c>
      <c r="I8426" t="s">
        <v>8541</v>
      </c>
    </row>
    <row r="8427" spans="1:9" x14ac:dyDescent="0.3">
      <c r="A8427" t="s">
        <v>10138</v>
      </c>
      <c r="B8427" t="s">
        <v>30</v>
      </c>
      <c r="C8427">
        <v>7648876604</v>
      </c>
      <c r="D8427" s="2">
        <v>1</v>
      </c>
      <c r="E8427" t="str">
        <f>"4574674200930980"</f>
        <v>4574674200930980</v>
      </c>
      <c r="F8427" t="str">
        <f>"096"</f>
        <v>096</v>
      </c>
      <c r="G8427">
        <v>1</v>
      </c>
      <c r="H8427">
        <v>2023</v>
      </c>
      <c r="I8427" t="s">
        <v>8542</v>
      </c>
    </row>
    <row r="8428" spans="1:9" x14ac:dyDescent="0.3">
      <c r="A8428" t="s">
        <v>10138</v>
      </c>
      <c r="B8428" t="s">
        <v>30</v>
      </c>
      <c r="C8428">
        <v>7648876604</v>
      </c>
      <c r="D8428" s="2">
        <v>1</v>
      </c>
      <c r="E8428" t="str">
        <f>"4574674200932283"</f>
        <v>4574674200932283</v>
      </c>
      <c r="F8428" t="str">
        <f>"140"</f>
        <v>140</v>
      </c>
      <c r="G8428">
        <v>1</v>
      </c>
      <c r="H8428">
        <v>2023</v>
      </c>
      <c r="I8428" t="s">
        <v>8543</v>
      </c>
    </row>
    <row r="8429" spans="1:9" x14ac:dyDescent="0.3">
      <c r="A8429" t="s">
        <v>10138</v>
      </c>
      <c r="B8429" t="s">
        <v>30</v>
      </c>
      <c r="C8429">
        <v>7648876604</v>
      </c>
      <c r="D8429" s="2">
        <v>1</v>
      </c>
      <c r="E8429" t="str">
        <f>"4574674200932333"</f>
        <v>4574674200932333</v>
      </c>
      <c r="F8429" t="str">
        <f>"643"</f>
        <v>643</v>
      </c>
      <c r="G8429">
        <v>1</v>
      </c>
      <c r="H8429">
        <v>2023</v>
      </c>
      <c r="I8429" t="s">
        <v>8544</v>
      </c>
    </row>
    <row r="8430" spans="1:9" x14ac:dyDescent="0.3">
      <c r="A8430" t="s">
        <v>10138</v>
      </c>
      <c r="B8430" t="s">
        <v>30</v>
      </c>
      <c r="C8430">
        <v>7648876604</v>
      </c>
      <c r="D8430" s="2">
        <v>1</v>
      </c>
      <c r="E8430" t="str">
        <f>"4574674200932606"</f>
        <v>4574674200932606</v>
      </c>
      <c r="F8430" t="str">
        <f>"955"</f>
        <v>955</v>
      </c>
      <c r="G8430">
        <v>1</v>
      </c>
      <c r="H8430">
        <v>2023</v>
      </c>
      <c r="I8430" t="s">
        <v>8545</v>
      </c>
    </row>
    <row r="8431" spans="1:9" x14ac:dyDescent="0.3">
      <c r="A8431" t="s">
        <v>10138</v>
      </c>
      <c r="B8431" t="s">
        <v>30</v>
      </c>
      <c r="C8431">
        <v>7648876604</v>
      </c>
      <c r="D8431" s="2">
        <v>1</v>
      </c>
      <c r="E8431" t="str">
        <f>"4574674200932473"</f>
        <v>4574674200932473</v>
      </c>
      <c r="F8431" t="str">
        <f>"021"</f>
        <v>021</v>
      </c>
      <c r="G8431">
        <v>1</v>
      </c>
      <c r="H8431">
        <v>2023</v>
      </c>
      <c r="I8431" t="s">
        <v>8546</v>
      </c>
    </row>
    <row r="8432" spans="1:9" x14ac:dyDescent="0.3">
      <c r="A8432" t="s">
        <v>10138</v>
      </c>
      <c r="B8432" t="s">
        <v>30</v>
      </c>
      <c r="C8432">
        <v>7648876604</v>
      </c>
      <c r="D8432" s="2">
        <v>1</v>
      </c>
      <c r="E8432" t="str">
        <f>"4574674200932630"</f>
        <v>4574674200932630</v>
      </c>
      <c r="F8432" t="str">
        <f>"337"</f>
        <v>337</v>
      </c>
      <c r="G8432">
        <v>1</v>
      </c>
      <c r="H8432">
        <v>2023</v>
      </c>
      <c r="I8432" t="s">
        <v>8547</v>
      </c>
    </row>
    <row r="8433" spans="1:9" x14ac:dyDescent="0.3">
      <c r="A8433" t="s">
        <v>10138</v>
      </c>
      <c r="B8433" t="s">
        <v>30</v>
      </c>
      <c r="C8433">
        <v>7648876604</v>
      </c>
      <c r="D8433" s="2">
        <v>1</v>
      </c>
      <c r="E8433" t="str">
        <f>"4574674200932648"</f>
        <v>4574674200932648</v>
      </c>
      <c r="F8433" t="str">
        <f>"730"</f>
        <v>730</v>
      </c>
      <c r="G8433">
        <v>1</v>
      </c>
      <c r="H8433">
        <v>2023</v>
      </c>
      <c r="I8433" t="s">
        <v>8548</v>
      </c>
    </row>
    <row r="8434" spans="1:9" x14ac:dyDescent="0.3">
      <c r="A8434" t="s">
        <v>10138</v>
      </c>
      <c r="B8434" t="s">
        <v>30</v>
      </c>
      <c r="C8434">
        <v>7648876604</v>
      </c>
      <c r="D8434" s="2">
        <v>1</v>
      </c>
      <c r="E8434" t="str">
        <f>"4574674200932879"</f>
        <v>4574674200932879</v>
      </c>
      <c r="F8434" t="str">
        <f>"314"</f>
        <v>314</v>
      </c>
      <c r="G8434">
        <v>1</v>
      </c>
      <c r="H8434">
        <v>2023</v>
      </c>
      <c r="I8434" t="s">
        <v>8549</v>
      </c>
    </row>
    <row r="8435" spans="1:9" x14ac:dyDescent="0.3">
      <c r="A8435" t="s">
        <v>10138</v>
      </c>
      <c r="B8435" t="s">
        <v>30</v>
      </c>
      <c r="C8435">
        <v>7648876604</v>
      </c>
      <c r="D8435" s="2">
        <v>1</v>
      </c>
      <c r="E8435" t="str">
        <f>"4574674200932978"</f>
        <v>4574674200932978</v>
      </c>
      <c r="F8435" t="str">
        <f>"935"</f>
        <v>935</v>
      </c>
      <c r="G8435">
        <v>1</v>
      </c>
      <c r="H8435">
        <v>2023</v>
      </c>
      <c r="I8435" t="s">
        <v>8550</v>
      </c>
    </row>
    <row r="8436" spans="1:9" x14ac:dyDescent="0.3">
      <c r="A8436" t="s">
        <v>10139</v>
      </c>
      <c r="B8436" t="s">
        <v>31</v>
      </c>
      <c r="C8436">
        <v>7648876604</v>
      </c>
      <c r="D8436" s="2">
        <v>1</v>
      </c>
      <c r="E8436" t="str">
        <f>"4574674200933034"</f>
        <v>4574674200933034</v>
      </c>
      <c r="F8436" t="str">
        <f>"959"</f>
        <v>959</v>
      </c>
      <c r="G8436">
        <v>1</v>
      </c>
      <c r="H8436">
        <v>2023</v>
      </c>
      <c r="I8436" t="s">
        <v>8551</v>
      </c>
    </row>
    <row r="8437" spans="1:9" x14ac:dyDescent="0.3">
      <c r="A8437" t="s">
        <v>10139</v>
      </c>
      <c r="B8437" t="s">
        <v>31</v>
      </c>
      <c r="C8437">
        <v>7648876604</v>
      </c>
      <c r="D8437" s="2">
        <v>1</v>
      </c>
      <c r="E8437" t="str">
        <f>"4574674200932671"</f>
        <v>4574674200932671</v>
      </c>
      <c r="F8437" t="str">
        <f>"701"</f>
        <v>701</v>
      </c>
      <c r="G8437">
        <v>1</v>
      </c>
      <c r="H8437">
        <v>2023</v>
      </c>
      <c r="I8437" t="s">
        <v>8552</v>
      </c>
    </row>
    <row r="8438" spans="1:9" x14ac:dyDescent="0.3">
      <c r="A8438" t="s">
        <v>10139</v>
      </c>
      <c r="B8438" t="s">
        <v>31</v>
      </c>
      <c r="C8438">
        <v>7648876604</v>
      </c>
      <c r="D8438" s="2">
        <v>1</v>
      </c>
      <c r="E8438" t="str">
        <f>"4574674200933133"</f>
        <v>4574674200933133</v>
      </c>
      <c r="F8438" t="str">
        <f>"279"</f>
        <v>279</v>
      </c>
      <c r="G8438">
        <v>1</v>
      </c>
      <c r="H8438">
        <v>2023</v>
      </c>
      <c r="I8438" t="s">
        <v>8553</v>
      </c>
    </row>
    <row r="8439" spans="1:9" x14ac:dyDescent="0.3">
      <c r="A8439" t="s">
        <v>10139</v>
      </c>
      <c r="B8439" t="s">
        <v>31</v>
      </c>
      <c r="C8439">
        <v>7648876604</v>
      </c>
      <c r="D8439" s="2">
        <v>1</v>
      </c>
      <c r="E8439" t="str">
        <f>"4574674200933166"</f>
        <v>4574674200933166</v>
      </c>
      <c r="F8439" t="str">
        <f>"691"</f>
        <v>691</v>
      </c>
      <c r="G8439">
        <v>1</v>
      </c>
      <c r="H8439">
        <v>2023</v>
      </c>
      <c r="I8439" t="s">
        <v>8554</v>
      </c>
    </row>
    <row r="8440" spans="1:9" x14ac:dyDescent="0.3">
      <c r="A8440" t="s">
        <v>10139</v>
      </c>
      <c r="B8440" t="s">
        <v>31</v>
      </c>
      <c r="C8440">
        <v>7648876604</v>
      </c>
      <c r="D8440" s="2">
        <v>1</v>
      </c>
      <c r="E8440" t="str">
        <f>"4574674200932697"</f>
        <v>4574674200932697</v>
      </c>
      <c r="F8440" t="str">
        <f>"126"</f>
        <v>126</v>
      </c>
      <c r="G8440">
        <v>1</v>
      </c>
      <c r="H8440">
        <v>2023</v>
      </c>
      <c r="I8440" t="s">
        <v>8555</v>
      </c>
    </row>
    <row r="8441" spans="1:9" x14ac:dyDescent="0.3">
      <c r="A8441" t="s">
        <v>10139</v>
      </c>
      <c r="B8441" t="s">
        <v>31</v>
      </c>
      <c r="C8441">
        <v>7648876604</v>
      </c>
      <c r="D8441" s="2">
        <v>1</v>
      </c>
      <c r="E8441" t="str">
        <f>"4574674200932705"</f>
        <v>4574674200932705</v>
      </c>
      <c r="F8441" t="str">
        <f>"680"</f>
        <v>680</v>
      </c>
      <c r="G8441">
        <v>1</v>
      </c>
      <c r="H8441">
        <v>2023</v>
      </c>
      <c r="I8441" t="s">
        <v>8556</v>
      </c>
    </row>
    <row r="8442" spans="1:9" x14ac:dyDescent="0.3">
      <c r="A8442" t="s">
        <v>10139</v>
      </c>
      <c r="B8442" t="s">
        <v>31</v>
      </c>
      <c r="C8442">
        <v>7648876604</v>
      </c>
      <c r="D8442" s="2">
        <v>1</v>
      </c>
      <c r="E8442" t="str">
        <f>"4574674200933299"</f>
        <v>4574674200933299</v>
      </c>
      <c r="F8442" t="str">
        <f>"716"</f>
        <v>716</v>
      </c>
      <c r="G8442">
        <v>1</v>
      </c>
      <c r="H8442">
        <v>2023</v>
      </c>
      <c r="I8442" t="s">
        <v>8557</v>
      </c>
    </row>
    <row r="8443" spans="1:9" x14ac:dyDescent="0.3">
      <c r="A8443" t="s">
        <v>10139</v>
      </c>
      <c r="B8443" t="s">
        <v>31</v>
      </c>
      <c r="C8443">
        <v>7648876604</v>
      </c>
      <c r="D8443" s="2">
        <v>1</v>
      </c>
      <c r="E8443" t="str">
        <f>"4574674200933331"</f>
        <v>4574674200933331</v>
      </c>
      <c r="F8443" t="str">
        <f>"941"</f>
        <v>941</v>
      </c>
      <c r="G8443">
        <v>1</v>
      </c>
      <c r="H8443">
        <v>2023</v>
      </c>
      <c r="I8443" t="s">
        <v>8558</v>
      </c>
    </row>
    <row r="8444" spans="1:9" x14ac:dyDescent="0.3">
      <c r="A8444" t="s">
        <v>10139</v>
      </c>
      <c r="B8444" t="s">
        <v>31</v>
      </c>
      <c r="C8444">
        <v>7648876604</v>
      </c>
      <c r="D8444" s="2">
        <v>1</v>
      </c>
      <c r="E8444" t="str">
        <f>"4574674200933356"</f>
        <v>4574674200933356</v>
      </c>
      <c r="F8444" t="str">
        <f>"565"</f>
        <v>565</v>
      </c>
      <c r="G8444">
        <v>1</v>
      </c>
      <c r="H8444">
        <v>2023</v>
      </c>
      <c r="I8444" t="s">
        <v>8559</v>
      </c>
    </row>
    <row r="8445" spans="1:9" x14ac:dyDescent="0.3">
      <c r="A8445" t="s">
        <v>10139</v>
      </c>
      <c r="B8445" t="s">
        <v>31</v>
      </c>
      <c r="C8445">
        <v>7648876604</v>
      </c>
      <c r="D8445" s="2">
        <v>1</v>
      </c>
      <c r="E8445" t="str">
        <f>"4574674200933398"</f>
        <v>4574674200933398</v>
      </c>
      <c r="F8445" t="str">
        <f>"202"</f>
        <v>202</v>
      </c>
      <c r="G8445">
        <v>1</v>
      </c>
      <c r="H8445">
        <v>2023</v>
      </c>
      <c r="I8445" t="s">
        <v>8560</v>
      </c>
    </row>
    <row r="8446" spans="1:9" x14ac:dyDescent="0.3">
      <c r="A8446" t="s">
        <v>10138</v>
      </c>
      <c r="B8446" t="s">
        <v>30</v>
      </c>
      <c r="C8446">
        <v>7648876604</v>
      </c>
      <c r="D8446" s="2">
        <v>1</v>
      </c>
      <c r="E8446" t="str">
        <f>"4574674200932747"</f>
        <v>4574674200932747</v>
      </c>
      <c r="F8446" t="str">
        <f>"678"</f>
        <v>678</v>
      </c>
      <c r="G8446">
        <v>1</v>
      </c>
      <c r="H8446">
        <v>2023</v>
      </c>
      <c r="I8446" t="s">
        <v>8561</v>
      </c>
    </row>
    <row r="8447" spans="1:9" x14ac:dyDescent="0.3">
      <c r="A8447" t="s">
        <v>10138</v>
      </c>
      <c r="B8447" t="s">
        <v>30</v>
      </c>
      <c r="C8447">
        <v>7648876604</v>
      </c>
      <c r="D8447" s="2">
        <v>1</v>
      </c>
      <c r="E8447" t="str">
        <f>"4574674200933505"</f>
        <v>4574674200933505</v>
      </c>
      <c r="F8447" t="str">
        <f>"010"</f>
        <v>010</v>
      </c>
      <c r="G8447">
        <v>1</v>
      </c>
      <c r="H8447">
        <v>2023</v>
      </c>
      <c r="I8447" t="s">
        <v>8562</v>
      </c>
    </row>
    <row r="8448" spans="1:9" x14ac:dyDescent="0.3">
      <c r="A8448" t="s">
        <v>10138</v>
      </c>
      <c r="B8448" t="s">
        <v>30</v>
      </c>
      <c r="C8448">
        <v>7648876604</v>
      </c>
      <c r="D8448" s="2">
        <v>1</v>
      </c>
      <c r="E8448" t="str">
        <f>"4574674200933596"</f>
        <v>4574674200933596</v>
      </c>
      <c r="F8448" t="str">
        <f>"749"</f>
        <v>749</v>
      </c>
      <c r="G8448">
        <v>1</v>
      </c>
      <c r="H8448">
        <v>2023</v>
      </c>
      <c r="I8448" t="s">
        <v>8563</v>
      </c>
    </row>
    <row r="8449" spans="1:9" x14ac:dyDescent="0.3">
      <c r="A8449" t="s">
        <v>10138</v>
      </c>
      <c r="B8449" t="s">
        <v>30</v>
      </c>
      <c r="C8449">
        <v>7648876604</v>
      </c>
      <c r="D8449" s="2">
        <v>1</v>
      </c>
      <c r="E8449" t="str">
        <f>"4574674200933638"</f>
        <v>4574674200933638</v>
      </c>
      <c r="F8449" t="str">
        <f>"353"</f>
        <v>353</v>
      </c>
      <c r="G8449">
        <v>1</v>
      </c>
      <c r="H8449">
        <v>2023</v>
      </c>
      <c r="I8449" t="s">
        <v>8564</v>
      </c>
    </row>
    <row r="8450" spans="1:9" x14ac:dyDescent="0.3">
      <c r="A8450" t="s">
        <v>10138</v>
      </c>
      <c r="B8450" t="s">
        <v>30</v>
      </c>
      <c r="C8450">
        <v>7648876604</v>
      </c>
      <c r="D8450" s="2">
        <v>1</v>
      </c>
      <c r="E8450" t="str">
        <f>"4574674200933679"</f>
        <v>4574674200933679</v>
      </c>
      <c r="F8450" t="str">
        <f>"697"</f>
        <v>697</v>
      </c>
      <c r="G8450">
        <v>1</v>
      </c>
      <c r="H8450">
        <v>2023</v>
      </c>
      <c r="I8450" t="s">
        <v>8565</v>
      </c>
    </row>
    <row r="8451" spans="1:9" x14ac:dyDescent="0.3">
      <c r="A8451" t="s">
        <v>10138</v>
      </c>
      <c r="B8451" t="s">
        <v>30</v>
      </c>
      <c r="C8451">
        <v>7648876604</v>
      </c>
      <c r="D8451" s="2">
        <v>1</v>
      </c>
      <c r="E8451" t="str">
        <f>"4574674200933752"</f>
        <v>4574674200933752</v>
      </c>
      <c r="F8451" t="str">
        <f>"264"</f>
        <v>264</v>
      </c>
      <c r="G8451">
        <v>1</v>
      </c>
      <c r="H8451">
        <v>2023</v>
      </c>
      <c r="I8451" t="s">
        <v>8566</v>
      </c>
    </row>
    <row r="8452" spans="1:9" x14ac:dyDescent="0.3">
      <c r="A8452" t="s">
        <v>10138</v>
      </c>
      <c r="B8452" t="s">
        <v>30</v>
      </c>
      <c r="C8452">
        <v>7648876604</v>
      </c>
      <c r="D8452" s="2">
        <v>1</v>
      </c>
      <c r="E8452" t="str">
        <f>"4574674200933794"</f>
        <v>4574674200933794</v>
      </c>
      <c r="F8452" t="str">
        <f>"211"</f>
        <v>211</v>
      </c>
      <c r="G8452">
        <v>1</v>
      </c>
      <c r="H8452">
        <v>2023</v>
      </c>
      <c r="I8452" t="s">
        <v>8567</v>
      </c>
    </row>
    <row r="8453" spans="1:9" x14ac:dyDescent="0.3">
      <c r="A8453" t="s">
        <v>10138</v>
      </c>
      <c r="B8453" t="s">
        <v>30</v>
      </c>
      <c r="C8453">
        <v>7648876604</v>
      </c>
      <c r="D8453" s="2">
        <v>1</v>
      </c>
      <c r="E8453" t="str">
        <f>"4574674200933844"</f>
        <v>4574674200933844</v>
      </c>
      <c r="F8453" t="str">
        <f>"314"</f>
        <v>314</v>
      </c>
      <c r="G8453">
        <v>1</v>
      </c>
      <c r="H8453">
        <v>2023</v>
      </c>
      <c r="I8453" t="s">
        <v>8568</v>
      </c>
    </row>
    <row r="8454" spans="1:9" x14ac:dyDescent="0.3">
      <c r="A8454" t="s">
        <v>10138</v>
      </c>
      <c r="B8454" t="s">
        <v>30</v>
      </c>
      <c r="C8454">
        <v>7648876604</v>
      </c>
      <c r="D8454" s="2">
        <v>1</v>
      </c>
      <c r="E8454" t="str">
        <f>"4574674200933869"</f>
        <v>4574674200933869</v>
      </c>
      <c r="F8454" t="str">
        <f>"468"</f>
        <v>468</v>
      </c>
      <c r="G8454">
        <v>1</v>
      </c>
      <c r="H8454">
        <v>2023</v>
      </c>
      <c r="I8454" t="s">
        <v>8569</v>
      </c>
    </row>
    <row r="8455" spans="1:9" x14ac:dyDescent="0.3">
      <c r="A8455" t="s">
        <v>10138</v>
      </c>
      <c r="B8455" t="s">
        <v>30</v>
      </c>
      <c r="C8455">
        <v>7648876604</v>
      </c>
      <c r="D8455" s="2">
        <v>1</v>
      </c>
      <c r="E8455" t="str">
        <f>"4574674200934768"</f>
        <v>4574674200934768</v>
      </c>
      <c r="F8455" t="str">
        <f>"030"</f>
        <v>030</v>
      </c>
      <c r="G8455">
        <v>1</v>
      </c>
      <c r="H8455">
        <v>2023</v>
      </c>
      <c r="I8455" t="s">
        <v>8570</v>
      </c>
    </row>
    <row r="8456" spans="1:9" x14ac:dyDescent="0.3">
      <c r="A8456" t="s">
        <v>10140</v>
      </c>
      <c r="B8456" t="s">
        <v>32</v>
      </c>
      <c r="C8456">
        <v>7648876604</v>
      </c>
      <c r="D8456" s="2">
        <v>1</v>
      </c>
      <c r="E8456" t="str">
        <f>"4574674200934784"</f>
        <v>4574674200934784</v>
      </c>
      <c r="F8456" t="str">
        <f>"200"</f>
        <v>200</v>
      </c>
      <c r="G8456">
        <v>1</v>
      </c>
      <c r="H8456">
        <v>2023</v>
      </c>
      <c r="I8456" t="s">
        <v>8571</v>
      </c>
    </row>
    <row r="8457" spans="1:9" x14ac:dyDescent="0.3">
      <c r="A8457" t="s">
        <v>10140</v>
      </c>
      <c r="B8457" t="s">
        <v>32</v>
      </c>
      <c r="C8457">
        <v>7648876604</v>
      </c>
      <c r="D8457" s="2">
        <v>1</v>
      </c>
      <c r="E8457" t="str">
        <f>"4574674200934800"</f>
        <v>4574674200934800</v>
      </c>
      <c r="F8457" t="str">
        <f>"393"</f>
        <v>393</v>
      </c>
      <c r="G8457">
        <v>1</v>
      </c>
      <c r="H8457">
        <v>2023</v>
      </c>
      <c r="I8457" t="s">
        <v>8572</v>
      </c>
    </row>
    <row r="8458" spans="1:9" x14ac:dyDescent="0.3">
      <c r="A8458" t="s">
        <v>10140</v>
      </c>
      <c r="B8458" t="s">
        <v>32</v>
      </c>
      <c r="C8458">
        <v>7648876604</v>
      </c>
      <c r="D8458" s="2">
        <v>1</v>
      </c>
      <c r="E8458" t="str">
        <f>"4574674200934966"</f>
        <v>4574674200934966</v>
      </c>
      <c r="F8458" t="str">
        <f>"413"</f>
        <v>413</v>
      </c>
      <c r="G8458">
        <v>1</v>
      </c>
      <c r="H8458">
        <v>2023</v>
      </c>
      <c r="I8458" t="s">
        <v>8573</v>
      </c>
    </row>
    <row r="8459" spans="1:9" x14ac:dyDescent="0.3">
      <c r="A8459" t="s">
        <v>10140</v>
      </c>
      <c r="B8459" t="s">
        <v>32</v>
      </c>
      <c r="C8459">
        <v>7648876604</v>
      </c>
      <c r="D8459" s="2">
        <v>1</v>
      </c>
      <c r="E8459" t="str">
        <f>"4574674200935021"</f>
        <v>4574674200935021</v>
      </c>
      <c r="F8459" t="str">
        <f>"455"</f>
        <v>455</v>
      </c>
      <c r="G8459">
        <v>1</v>
      </c>
      <c r="H8459">
        <v>2023</v>
      </c>
      <c r="I8459" t="s">
        <v>8574</v>
      </c>
    </row>
    <row r="8460" spans="1:9" x14ac:dyDescent="0.3">
      <c r="A8460" t="s">
        <v>10140</v>
      </c>
      <c r="B8460" t="s">
        <v>32</v>
      </c>
      <c r="C8460">
        <v>7648876604</v>
      </c>
      <c r="D8460" s="2">
        <v>1</v>
      </c>
      <c r="E8460" t="str">
        <f>"4574674200935070"</f>
        <v>4574674200935070</v>
      </c>
      <c r="F8460" t="str">
        <f>"881"</f>
        <v>881</v>
      </c>
      <c r="G8460">
        <v>1</v>
      </c>
      <c r="H8460">
        <v>2023</v>
      </c>
      <c r="I8460" t="s">
        <v>8575</v>
      </c>
    </row>
    <row r="8461" spans="1:9" x14ac:dyDescent="0.3">
      <c r="A8461" t="s">
        <v>10140</v>
      </c>
      <c r="B8461" t="s">
        <v>32</v>
      </c>
      <c r="C8461">
        <v>7648876604</v>
      </c>
      <c r="D8461" s="2">
        <v>1</v>
      </c>
      <c r="E8461" t="str">
        <f>"4574674200935187"</f>
        <v>4574674200935187</v>
      </c>
      <c r="F8461" t="str">
        <f>"068"</f>
        <v>068</v>
      </c>
      <c r="G8461">
        <v>1</v>
      </c>
      <c r="H8461">
        <v>2023</v>
      </c>
      <c r="I8461" t="s">
        <v>8576</v>
      </c>
    </row>
    <row r="8462" spans="1:9" x14ac:dyDescent="0.3">
      <c r="A8462" t="s">
        <v>10140</v>
      </c>
      <c r="B8462" t="s">
        <v>32</v>
      </c>
      <c r="C8462">
        <v>7648876604</v>
      </c>
      <c r="D8462" s="2">
        <v>1</v>
      </c>
      <c r="E8462" t="str">
        <f>"4574674200935245"</f>
        <v>4574674200935245</v>
      </c>
      <c r="F8462" t="str">
        <f>"744"</f>
        <v>744</v>
      </c>
      <c r="G8462">
        <v>1</v>
      </c>
      <c r="H8462">
        <v>2023</v>
      </c>
      <c r="I8462" t="s">
        <v>8577</v>
      </c>
    </row>
    <row r="8463" spans="1:9" x14ac:dyDescent="0.3">
      <c r="A8463" t="s">
        <v>10140</v>
      </c>
      <c r="B8463" t="s">
        <v>32</v>
      </c>
      <c r="C8463">
        <v>7648876604</v>
      </c>
      <c r="D8463" s="2">
        <v>1</v>
      </c>
      <c r="E8463" t="str">
        <f>"4574674200935336"</f>
        <v>4574674200935336</v>
      </c>
      <c r="F8463" t="str">
        <f>"090"</f>
        <v>090</v>
      </c>
      <c r="G8463">
        <v>1</v>
      </c>
      <c r="H8463">
        <v>2023</v>
      </c>
      <c r="I8463" t="s">
        <v>8578</v>
      </c>
    </row>
    <row r="8464" spans="1:9" x14ac:dyDescent="0.3">
      <c r="A8464" t="s">
        <v>10140</v>
      </c>
      <c r="B8464" t="s">
        <v>32</v>
      </c>
      <c r="C8464">
        <v>7648876604</v>
      </c>
      <c r="D8464" s="2">
        <v>1</v>
      </c>
      <c r="E8464" t="str">
        <f>"4574674200935450"</f>
        <v>4574674200935450</v>
      </c>
      <c r="F8464" t="str">
        <f>"568"</f>
        <v>568</v>
      </c>
      <c r="G8464">
        <v>1</v>
      </c>
      <c r="H8464">
        <v>2023</v>
      </c>
      <c r="I8464" t="s">
        <v>8579</v>
      </c>
    </row>
    <row r="8465" spans="1:9" x14ac:dyDescent="0.3">
      <c r="A8465" t="s">
        <v>10140</v>
      </c>
      <c r="B8465" t="s">
        <v>32</v>
      </c>
      <c r="C8465">
        <v>7648876604</v>
      </c>
      <c r="D8465" s="2">
        <v>1</v>
      </c>
      <c r="E8465" t="str">
        <f>"4574674200935559"</f>
        <v>4574674200935559</v>
      </c>
      <c r="F8465" t="str">
        <f>"055"</f>
        <v>055</v>
      </c>
      <c r="G8465">
        <v>1</v>
      </c>
      <c r="H8465">
        <v>2023</v>
      </c>
      <c r="I8465" t="s">
        <v>8580</v>
      </c>
    </row>
    <row r="8466" spans="1:9" x14ac:dyDescent="0.3">
      <c r="A8466" t="s">
        <v>10141</v>
      </c>
      <c r="B8466" t="s">
        <v>33</v>
      </c>
      <c r="C8466">
        <v>7648876604</v>
      </c>
      <c r="D8466" s="2">
        <v>1</v>
      </c>
      <c r="E8466" t="str">
        <f>"4574674200934198"</f>
        <v>4574674200934198</v>
      </c>
      <c r="F8466" t="str">
        <f>"594"</f>
        <v>594</v>
      </c>
      <c r="G8466">
        <v>1</v>
      </c>
      <c r="H8466">
        <v>2023</v>
      </c>
      <c r="I8466" t="s">
        <v>8581</v>
      </c>
    </row>
    <row r="8467" spans="1:9" x14ac:dyDescent="0.3">
      <c r="A8467" t="s">
        <v>10141</v>
      </c>
      <c r="B8467" t="s">
        <v>33</v>
      </c>
      <c r="C8467">
        <v>7648876604</v>
      </c>
      <c r="D8467" s="2">
        <v>1</v>
      </c>
      <c r="E8467" t="str">
        <f>"4574674200935807"</f>
        <v>4574674200935807</v>
      </c>
      <c r="F8467" t="str">
        <f>"075"</f>
        <v>075</v>
      </c>
      <c r="G8467">
        <v>1</v>
      </c>
      <c r="H8467">
        <v>2023</v>
      </c>
      <c r="I8467" t="s">
        <v>8582</v>
      </c>
    </row>
    <row r="8468" spans="1:9" x14ac:dyDescent="0.3">
      <c r="A8468" t="s">
        <v>10141</v>
      </c>
      <c r="B8468" t="s">
        <v>33</v>
      </c>
      <c r="C8468">
        <v>7648876604</v>
      </c>
      <c r="D8468" s="2">
        <v>1</v>
      </c>
      <c r="E8468" t="str">
        <f>"4574674200935641"</f>
        <v>4574674200935641</v>
      </c>
      <c r="F8468" t="str">
        <f>"880"</f>
        <v>880</v>
      </c>
      <c r="G8468">
        <v>1</v>
      </c>
      <c r="H8468">
        <v>2023</v>
      </c>
      <c r="I8468" t="s">
        <v>8583</v>
      </c>
    </row>
    <row r="8469" spans="1:9" x14ac:dyDescent="0.3">
      <c r="A8469" t="s">
        <v>10141</v>
      </c>
      <c r="B8469" t="s">
        <v>33</v>
      </c>
      <c r="C8469">
        <v>7648876604</v>
      </c>
      <c r="D8469" s="2">
        <v>1</v>
      </c>
      <c r="E8469" t="str">
        <f>"4574674200935781"</f>
        <v>4574674200935781</v>
      </c>
      <c r="F8469" t="str">
        <f>"700"</f>
        <v>700</v>
      </c>
      <c r="G8469">
        <v>1</v>
      </c>
      <c r="H8469">
        <v>2023</v>
      </c>
      <c r="I8469" t="s">
        <v>8584</v>
      </c>
    </row>
    <row r="8470" spans="1:9" x14ac:dyDescent="0.3">
      <c r="A8470" t="s">
        <v>10141</v>
      </c>
      <c r="B8470" t="s">
        <v>33</v>
      </c>
      <c r="C8470">
        <v>7648876604</v>
      </c>
      <c r="D8470" s="2">
        <v>1</v>
      </c>
      <c r="E8470" t="str">
        <f>"4574674200935823"</f>
        <v>4574674200935823</v>
      </c>
      <c r="F8470" t="str">
        <f>"714"</f>
        <v>714</v>
      </c>
      <c r="G8470">
        <v>1</v>
      </c>
      <c r="H8470">
        <v>2023</v>
      </c>
      <c r="I8470" t="s">
        <v>8585</v>
      </c>
    </row>
    <row r="8471" spans="1:9" x14ac:dyDescent="0.3">
      <c r="A8471" t="s">
        <v>10141</v>
      </c>
      <c r="B8471" t="s">
        <v>33</v>
      </c>
      <c r="C8471">
        <v>7648876604</v>
      </c>
      <c r="D8471" s="2">
        <v>1</v>
      </c>
      <c r="E8471" t="str">
        <f>"4574674200936060"</f>
        <v>4574674200936060</v>
      </c>
      <c r="F8471" t="str">
        <f>"362"</f>
        <v>362</v>
      </c>
      <c r="G8471">
        <v>1</v>
      </c>
      <c r="H8471">
        <v>2023</v>
      </c>
      <c r="I8471" t="s">
        <v>8586</v>
      </c>
    </row>
    <row r="8472" spans="1:9" x14ac:dyDescent="0.3">
      <c r="A8472" t="s">
        <v>10141</v>
      </c>
      <c r="B8472" t="s">
        <v>33</v>
      </c>
      <c r="C8472">
        <v>7648876604</v>
      </c>
      <c r="D8472" s="2">
        <v>1</v>
      </c>
      <c r="E8472" t="str">
        <f>"4574674200936128"</f>
        <v>4574674200936128</v>
      </c>
      <c r="F8472" t="str">
        <f>"261"</f>
        <v>261</v>
      </c>
      <c r="G8472">
        <v>1</v>
      </c>
      <c r="H8472">
        <v>2023</v>
      </c>
      <c r="I8472" t="s">
        <v>8587</v>
      </c>
    </row>
    <row r="8473" spans="1:9" x14ac:dyDescent="0.3">
      <c r="A8473" t="s">
        <v>10141</v>
      </c>
      <c r="B8473" t="s">
        <v>33</v>
      </c>
      <c r="C8473">
        <v>7648876604</v>
      </c>
      <c r="D8473" s="2">
        <v>1</v>
      </c>
      <c r="E8473" t="str">
        <f>"4574674200936284"</f>
        <v>4574674200936284</v>
      </c>
      <c r="F8473" t="str">
        <f>"464"</f>
        <v>464</v>
      </c>
      <c r="G8473">
        <v>1</v>
      </c>
      <c r="H8473">
        <v>2023</v>
      </c>
      <c r="I8473" t="s">
        <v>8588</v>
      </c>
    </row>
    <row r="8474" spans="1:9" x14ac:dyDescent="0.3">
      <c r="A8474" t="s">
        <v>10141</v>
      </c>
      <c r="B8474" t="s">
        <v>33</v>
      </c>
      <c r="C8474">
        <v>7648876604</v>
      </c>
      <c r="D8474" s="2">
        <v>1</v>
      </c>
      <c r="E8474" t="str">
        <f>"4574674200935856"</f>
        <v>4574674200935856</v>
      </c>
      <c r="F8474" t="str">
        <f>"073"</f>
        <v>073</v>
      </c>
      <c r="G8474">
        <v>1</v>
      </c>
      <c r="H8474">
        <v>2023</v>
      </c>
      <c r="I8474" t="s">
        <v>8589</v>
      </c>
    </row>
    <row r="8475" spans="1:9" x14ac:dyDescent="0.3">
      <c r="A8475" t="s">
        <v>10141</v>
      </c>
      <c r="B8475" t="s">
        <v>33</v>
      </c>
      <c r="C8475">
        <v>7648876604</v>
      </c>
      <c r="D8475" s="2">
        <v>1</v>
      </c>
      <c r="E8475" t="str">
        <f>"4574674200935864"</f>
        <v>4574674200935864</v>
      </c>
      <c r="F8475" t="str">
        <f>"015"</f>
        <v>015</v>
      </c>
      <c r="G8475">
        <v>1</v>
      </c>
      <c r="H8475">
        <v>2023</v>
      </c>
      <c r="I8475" t="s">
        <v>8590</v>
      </c>
    </row>
    <row r="8476" spans="1:9" x14ac:dyDescent="0.3">
      <c r="A8476" t="s">
        <v>10142</v>
      </c>
      <c r="B8476" t="s">
        <v>34</v>
      </c>
      <c r="C8476">
        <v>7648876604</v>
      </c>
      <c r="D8476" s="2">
        <v>1</v>
      </c>
      <c r="E8476" t="str">
        <f>"4574674200936342"</f>
        <v>4574674200936342</v>
      </c>
      <c r="F8476" t="str">
        <f>"294"</f>
        <v>294</v>
      </c>
      <c r="G8476">
        <v>1</v>
      </c>
      <c r="H8476">
        <v>2023</v>
      </c>
      <c r="I8476" t="s">
        <v>8591</v>
      </c>
    </row>
    <row r="8477" spans="1:9" x14ac:dyDescent="0.3">
      <c r="A8477" t="s">
        <v>10142</v>
      </c>
      <c r="B8477" t="s">
        <v>34</v>
      </c>
      <c r="C8477">
        <v>7648876604</v>
      </c>
      <c r="D8477" s="2">
        <v>1</v>
      </c>
      <c r="E8477" t="str">
        <f>"4574674200936359"</f>
        <v>4574674200936359</v>
      </c>
      <c r="F8477" t="str">
        <f>"874"</f>
        <v>874</v>
      </c>
      <c r="G8477">
        <v>1</v>
      </c>
      <c r="H8477">
        <v>2023</v>
      </c>
      <c r="I8477" t="s">
        <v>8592</v>
      </c>
    </row>
    <row r="8478" spans="1:9" x14ac:dyDescent="0.3">
      <c r="A8478" t="s">
        <v>10142</v>
      </c>
      <c r="B8478" t="s">
        <v>34</v>
      </c>
      <c r="C8478">
        <v>7648876604</v>
      </c>
      <c r="D8478" s="2">
        <v>1</v>
      </c>
      <c r="E8478" t="str">
        <f>"4574674200936474"</f>
        <v>4574674200936474</v>
      </c>
      <c r="F8478" t="str">
        <f>"259"</f>
        <v>259</v>
      </c>
      <c r="G8478">
        <v>1</v>
      </c>
      <c r="H8478">
        <v>2023</v>
      </c>
      <c r="I8478" t="s">
        <v>8593</v>
      </c>
    </row>
    <row r="8479" spans="1:9" x14ac:dyDescent="0.3">
      <c r="A8479" t="s">
        <v>10142</v>
      </c>
      <c r="B8479" t="s">
        <v>34</v>
      </c>
      <c r="C8479">
        <v>7648876604</v>
      </c>
      <c r="D8479" s="2">
        <v>1</v>
      </c>
      <c r="E8479" t="str">
        <f>"4574674200936508"</f>
        <v>4574674200936508</v>
      </c>
      <c r="F8479" t="str">
        <f>"406"</f>
        <v>406</v>
      </c>
      <c r="G8479">
        <v>1</v>
      </c>
      <c r="H8479">
        <v>2023</v>
      </c>
      <c r="I8479" t="s">
        <v>8594</v>
      </c>
    </row>
    <row r="8480" spans="1:9" x14ac:dyDescent="0.3">
      <c r="A8480" t="s">
        <v>10142</v>
      </c>
      <c r="B8480" t="s">
        <v>34</v>
      </c>
      <c r="C8480">
        <v>7648876604</v>
      </c>
      <c r="D8480" s="2">
        <v>1</v>
      </c>
      <c r="E8480" t="str">
        <f>"4574674200935906"</f>
        <v>4574674200935906</v>
      </c>
      <c r="F8480" t="str">
        <f>"167"</f>
        <v>167</v>
      </c>
      <c r="G8480">
        <v>1</v>
      </c>
      <c r="H8480">
        <v>2023</v>
      </c>
      <c r="I8480" t="s">
        <v>8595</v>
      </c>
    </row>
    <row r="8481" spans="1:9" x14ac:dyDescent="0.3">
      <c r="A8481" t="s">
        <v>10142</v>
      </c>
      <c r="B8481" t="s">
        <v>34</v>
      </c>
      <c r="C8481">
        <v>7648876604</v>
      </c>
      <c r="D8481" s="2">
        <v>1</v>
      </c>
      <c r="E8481" t="str">
        <f>"4574674200935914"</f>
        <v>4574674200935914</v>
      </c>
      <c r="F8481" t="str">
        <f>"206"</f>
        <v>206</v>
      </c>
      <c r="G8481">
        <v>1</v>
      </c>
      <c r="H8481">
        <v>2023</v>
      </c>
      <c r="I8481" t="s">
        <v>8596</v>
      </c>
    </row>
    <row r="8482" spans="1:9" x14ac:dyDescent="0.3">
      <c r="A8482" t="s">
        <v>10142</v>
      </c>
      <c r="B8482" t="s">
        <v>34</v>
      </c>
      <c r="C8482">
        <v>7648876604</v>
      </c>
      <c r="D8482" s="2">
        <v>1</v>
      </c>
      <c r="E8482" t="str">
        <f>"4574674200936664"</f>
        <v>4574674200936664</v>
      </c>
      <c r="F8482" t="str">
        <f>"192"</f>
        <v>192</v>
      </c>
      <c r="G8482">
        <v>1</v>
      </c>
      <c r="H8482">
        <v>2023</v>
      </c>
      <c r="I8482" t="s">
        <v>8597</v>
      </c>
    </row>
    <row r="8483" spans="1:9" x14ac:dyDescent="0.3">
      <c r="A8483" t="s">
        <v>10142</v>
      </c>
      <c r="B8483" t="s">
        <v>34</v>
      </c>
      <c r="C8483">
        <v>7648876604</v>
      </c>
      <c r="D8483" s="2">
        <v>1</v>
      </c>
      <c r="E8483" t="str">
        <f>"4574674200936680"</f>
        <v>4574674200936680</v>
      </c>
      <c r="F8483" t="str">
        <f>"286"</f>
        <v>286</v>
      </c>
      <c r="G8483">
        <v>1</v>
      </c>
      <c r="H8483">
        <v>2023</v>
      </c>
      <c r="I8483" t="s">
        <v>8598</v>
      </c>
    </row>
    <row r="8484" spans="1:9" x14ac:dyDescent="0.3">
      <c r="A8484" t="s">
        <v>10142</v>
      </c>
      <c r="B8484" t="s">
        <v>34</v>
      </c>
      <c r="C8484">
        <v>7648876604</v>
      </c>
      <c r="D8484" s="2">
        <v>1</v>
      </c>
      <c r="E8484" t="str">
        <f>"4574674200936565"</f>
        <v>4574674200936565</v>
      </c>
      <c r="F8484" t="str">
        <f>"629"</f>
        <v>629</v>
      </c>
      <c r="G8484">
        <v>1</v>
      </c>
      <c r="H8484">
        <v>2023</v>
      </c>
      <c r="I8484" t="s">
        <v>8599</v>
      </c>
    </row>
    <row r="8485" spans="1:9" x14ac:dyDescent="0.3">
      <c r="A8485" t="s">
        <v>10142</v>
      </c>
      <c r="B8485" t="s">
        <v>34</v>
      </c>
      <c r="C8485">
        <v>7648876604</v>
      </c>
      <c r="D8485" s="2">
        <v>1</v>
      </c>
      <c r="E8485" t="str">
        <f>"4574674200936623"</f>
        <v>4574674200936623</v>
      </c>
      <c r="F8485" t="str">
        <f>"681"</f>
        <v>681</v>
      </c>
      <c r="G8485">
        <v>1</v>
      </c>
      <c r="H8485">
        <v>2023</v>
      </c>
      <c r="I8485" t="s">
        <v>8600</v>
      </c>
    </row>
    <row r="8486" spans="1:9" x14ac:dyDescent="0.3">
      <c r="A8486" t="s">
        <v>10143</v>
      </c>
      <c r="B8486" t="s">
        <v>35</v>
      </c>
      <c r="C8486">
        <v>7648876604</v>
      </c>
      <c r="D8486" s="2">
        <v>1</v>
      </c>
      <c r="E8486" t="str">
        <f>"4574674200935922"</f>
        <v>4574674200935922</v>
      </c>
      <c r="F8486" t="str">
        <f>"424"</f>
        <v>424</v>
      </c>
      <c r="G8486">
        <v>1</v>
      </c>
      <c r="H8486">
        <v>2023</v>
      </c>
      <c r="I8486" t="s">
        <v>8601</v>
      </c>
    </row>
    <row r="8487" spans="1:9" x14ac:dyDescent="0.3">
      <c r="A8487" t="s">
        <v>10143</v>
      </c>
      <c r="B8487" t="s">
        <v>35</v>
      </c>
      <c r="C8487">
        <v>7648876604</v>
      </c>
      <c r="D8487" s="2">
        <v>1</v>
      </c>
      <c r="E8487" t="str">
        <f>"4574674200936805"</f>
        <v>4574674200936805</v>
      </c>
      <c r="F8487" t="str">
        <f>"320"</f>
        <v>320</v>
      </c>
      <c r="G8487">
        <v>1</v>
      </c>
      <c r="H8487">
        <v>2023</v>
      </c>
      <c r="I8487" t="s">
        <v>8602</v>
      </c>
    </row>
    <row r="8488" spans="1:9" x14ac:dyDescent="0.3">
      <c r="A8488" t="s">
        <v>10143</v>
      </c>
      <c r="B8488" t="s">
        <v>35</v>
      </c>
      <c r="C8488">
        <v>7648876604</v>
      </c>
      <c r="D8488" s="2">
        <v>1</v>
      </c>
      <c r="E8488" t="str">
        <f>"4574674200936995"</f>
        <v>4574674200936995</v>
      </c>
      <c r="F8488" t="str">
        <f>"244"</f>
        <v>244</v>
      </c>
      <c r="G8488">
        <v>1</v>
      </c>
      <c r="H8488">
        <v>2023</v>
      </c>
      <c r="I8488" t="s">
        <v>8603</v>
      </c>
    </row>
    <row r="8489" spans="1:9" x14ac:dyDescent="0.3">
      <c r="A8489" t="s">
        <v>10143</v>
      </c>
      <c r="B8489" t="s">
        <v>35</v>
      </c>
      <c r="C8489">
        <v>7648876604</v>
      </c>
      <c r="D8489" s="2">
        <v>1</v>
      </c>
      <c r="E8489" t="str">
        <f>"4574674200936847"</f>
        <v>4574674200936847</v>
      </c>
      <c r="F8489" t="str">
        <f>"714"</f>
        <v>714</v>
      </c>
      <c r="G8489">
        <v>1</v>
      </c>
      <c r="H8489">
        <v>2023</v>
      </c>
      <c r="I8489" t="s">
        <v>8604</v>
      </c>
    </row>
    <row r="8490" spans="1:9" x14ac:dyDescent="0.3">
      <c r="A8490" t="s">
        <v>10143</v>
      </c>
      <c r="B8490" t="s">
        <v>35</v>
      </c>
      <c r="C8490">
        <v>7648876604</v>
      </c>
      <c r="D8490" s="2">
        <v>1</v>
      </c>
      <c r="E8490" t="str">
        <f>"4574674200936904"</f>
        <v>4574674200936904</v>
      </c>
      <c r="F8490" t="str">
        <f>"526"</f>
        <v>526</v>
      </c>
      <c r="G8490">
        <v>1</v>
      </c>
      <c r="H8490">
        <v>2023</v>
      </c>
      <c r="I8490" t="s">
        <v>8605</v>
      </c>
    </row>
    <row r="8491" spans="1:9" x14ac:dyDescent="0.3">
      <c r="A8491" t="s">
        <v>10143</v>
      </c>
      <c r="B8491" t="s">
        <v>35</v>
      </c>
      <c r="C8491">
        <v>7648876604</v>
      </c>
      <c r="D8491" s="2">
        <v>1</v>
      </c>
      <c r="E8491" t="str">
        <f>"4574674200935963"</f>
        <v>4574674200935963</v>
      </c>
      <c r="F8491" t="str">
        <f>"423"</f>
        <v>423</v>
      </c>
      <c r="G8491">
        <v>1</v>
      </c>
      <c r="H8491">
        <v>2023</v>
      </c>
      <c r="I8491" t="s">
        <v>8606</v>
      </c>
    </row>
    <row r="8492" spans="1:9" x14ac:dyDescent="0.3">
      <c r="A8492" t="s">
        <v>10143</v>
      </c>
      <c r="B8492" t="s">
        <v>35</v>
      </c>
      <c r="C8492">
        <v>7648876604</v>
      </c>
      <c r="D8492" s="2">
        <v>1</v>
      </c>
      <c r="E8492" t="str">
        <f>"4574674200935971"</f>
        <v>4574674200935971</v>
      </c>
      <c r="F8492" t="str">
        <f>"026"</f>
        <v>026</v>
      </c>
      <c r="G8492">
        <v>1</v>
      </c>
      <c r="H8492">
        <v>2023</v>
      </c>
      <c r="I8492" t="s">
        <v>8607</v>
      </c>
    </row>
    <row r="8493" spans="1:9" x14ac:dyDescent="0.3">
      <c r="A8493" t="s">
        <v>10143</v>
      </c>
      <c r="B8493" t="s">
        <v>35</v>
      </c>
      <c r="C8493">
        <v>7648876604</v>
      </c>
      <c r="D8493" s="2">
        <v>1</v>
      </c>
      <c r="E8493" t="str">
        <f>"4574674200937001"</f>
        <v>4574674200937001</v>
      </c>
      <c r="F8493" t="str">
        <f>"996"</f>
        <v>996</v>
      </c>
      <c r="G8493">
        <v>1</v>
      </c>
      <c r="H8493">
        <v>2023</v>
      </c>
      <c r="I8493" t="s">
        <v>8608</v>
      </c>
    </row>
    <row r="8494" spans="1:9" x14ac:dyDescent="0.3">
      <c r="A8494" t="s">
        <v>10143</v>
      </c>
      <c r="B8494" t="s">
        <v>35</v>
      </c>
      <c r="C8494">
        <v>7648876604</v>
      </c>
      <c r="D8494" s="2">
        <v>1</v>
      </c>
      <c r="E8494" t="str">
        <f>"4574674200935989"</f>
        <v>4574674200935989</v>
      </c>
      <c r="F8494" t="str">
        <f>"556"</f>
        <v>556</v>
      </c>
      <c r="G8494">
        <v>1</v>
      </c>
      <c r="H8494">
        <v>2023</v>
      </c>
      <c r="I8494" t="s">
        <v>8609</v>
      </c>
    </row>
    <row r="8495" spans="1:9" x14ac:dyDescent="0.3">
      <c r="A8495" t="s">
        <v>10143</v>
      </c>
      <c r="B8495" t="s">
        <v>35</v>
      </c>
      <c r="C8495">
        <v>7648876604</v>
      </c>
      <c r="D8495" s="2">
        <v>1</v>
      </c>
      <c r="E8495" t="str">
        <f>"4574674200937175"</f>
        <v>4574674200937175</v>
      </c>
      <c r="F8495" t="str">
        <f>"151"</f>
        <v>151</v>
      </c>
      <c r="G8495">
        <v>1</v>
      </c>
      <c r="H8495">
        <v>2023</v>
      </c>
      <c r="I8495" t="s">
        <v>8610</v>
      </c>
    </row>
    <row r="8496" spans="1:9" x14ac:dyDescent="0.3">
      <c r="A8496" t="s">
        <v>10144</v>
      </c>
      <c r="B8496" t="s">
        <v>36</v>
      </c>
      <c r="C8496">
        <v>7648876604</v>
      </c>
      <c r="D8496" s="2">
        <v>1</v>
      </c>
      <c r="E8496" t="str">
        <f>"4574674200937167"</f>
        <v>4574674200937167</v>
      </c>
      <c r="F8496" t="str">
        <f>"599"</f>
        <v>599</v>
      </c>
      <c r="G8496">
        <v>1</v>
      </c>
      <c r="H8496">
        <v>2023</v>
      </c>
      <c r="I8496" t="s">
        <v>8611</v>
      </c>
    </row>
    <row r="8497" spans="1:9" x14ac:dyDescent="0.3">
      <c r="A8497" t="s">
        <v>10144</v>
      </c>
      <c r="B8497" t="s">
        <v>36</v>
      </c>
      <c r="C8497">
        <v>7648876604</v>
      </c>
      <c r="D8497" s="2">
        <v>1</v>
      </c>
      <c r="E8497" t="str">
        <f>"4574674200937191"</f>
        <v>4574674200937191</v>
      </c>
      <c r="F8497" t="str">
        <f>"963"</f>
        <v>963</v>
      </c>
      <c r="G8497">
        <v>1</v>
      </c>
      <c r="H8497">
        <v>2023</v>
      </c>
      <c r="I8497" t="s">
        <v>8612</v>
      </c>
    </row>
    <row r="8498" spans="1:9" x14ac:dyDescent="0.3">
      <c r="A8498" t="s">
        <v>10144</v>
      </c>
      <c r="B8498" t="s">
        <v>36</v>
      </c>
      <c r="C8498">
        <v>7648876604</v>
      </c>
      <c r="D8498" s="2">
        <v>1</v>
      </c>
      <c r="E8498" t="str">
        <f>"4574674200937225"</f>
        <v>4574674200937225</v>
      </c>
      <c r="F8498" t="str">
        <f>"182"</f>
        <v>182</v>
      </c>
      <c r="G8498">
        <v>1</v>
      </c>
      <c r="H8498">
        <v>2023</v>
      </c>
      <c r="I8498" t="s">
        <v>8613</v>
      </c>
    </row>
    <row r="8499" spans="1:9" x14ac:dyDescent="0.3">
      <c r="A8499" t="s">
        <v>10144</v>
      </c>
      <c r="B8499" t="s">
        <v>36</v>
      </c>
      <c r="C8499">
        <v>7648876604</v>
      </c>
      <c r="D8499" s="2">
        <v>1</v>
      </c>
      <c r="E8499" t="str">
        <f>"4574674200937381"</f>
        <v>4574674200937381</v>
      </c>
      <c r="F8499" t="str">
        <f>"816"</f>
        <v>816</v>
      </c>
      <c r="G8499">
        <v>1</v>
      </c>
      <c r="H8499">
        <v>2023</v>
      </c>
      <c r="I8499" t="s">
        <v>8614</v>
      </c>
    </row>
    <row r="8500" spans="1:9" x14ac:dyDescent="0.3">
      <c r="A8500" t="s">
        <v>10144</v>
      </c>
      <c r="B8500" t="s">
        <v>36</v>
      </c>
      <c r="C8500">
        <v>7648876604</v>
      </c>
      <c r="D8500" s="2">
        <v>1</v>
      </c>
      <c r="E8500" t="str">
        <f>"4574674200937613"</f>
        <v>4574674200937613</v>
      </c>
      <c r="F8500" t="str">
        <f>"185"</f>
        <v>185</v>
      </c>
      <c r="G8500">
        <v>1</v>
      </c>
      <c r="H8500">
        <v>2023</v>
      </c>
      <c r="I8500" t="s">
        <v>8615</v>
      </c>
    </row>
    <row r="8501" spans="1:9" x14ac:dyDescent="0.3">
      <c r="A8501" t="s">
        <v>10144</v>
      </c>
      <c r="B8501" t="s">
        <v>36</v>
      </c>
      <c r="C8501">
        <v>7648876604</v>
      </c>
      <c r="D8501" s="2">
        <v>1</v>
      </c>
      <c r="E8501" t="str">
        <f>"4574674200937639"</f>
        <v>4574674200937639</v>
      </c>
      <c r="F8501" t="str">
        <f>"581"</f>
        <v>581</v>
      </c>
      <c r="G8501">
        <v>1</v>
      </c>
      <c r="H8501">
        <v>2023</v>
      </c>
      <c r="I8501" t="s">
        <v>8616</v>
      </c>
    </row>
    <row r="8502" spans="1:9" x14ac:dyDescent="0.3">
      <c r="A8502" t="s">
        <v>10144</v>
      </c>
      <c r="B8502" t="s">
        <v>36</v>
      </c>
      <c r="C8502">
        <v>7648876604</v>
      </c>
      <c r="D8502" s="2">
        <v>1</v>
      </c>
      <c r="E8502" t="str">
        <f>"4574674200937647"</f>
        <v>4574674200937647</v>
      </c>
      <c r="F8502" t="str">
        <f>"438"</f>
        <v>438</v>
      </c>
      <c r="G8502">
        <v>1</v>
      </c>
      <c r="H8502">
        <v>2023</v>
      </c>
      <c r="I8502" t="s">
        <v>8617</v>
      </c>
    </row>
    <row r="8503" spans="1:9" x14ac:dyDescent="0.3">
      <c r="A8503" t="s">
        <v>10144</v>
      </c>
      <c r="B8503" t="s">
        <v>36</v>
      </c>
      <c r="C8503">
        <v>7648876604</v>
      </c>
      <c r="D8503" s="2">
        <v>1</v>
      </c>
      <c r="E8503" t="str">
        <f>"4574674200937423"</f>
        <v>4574674200937423</v>
      </c>
      <c r="F8503" t="str">
        <f>"008"</f>
        <v>008</v>
      </c>
      <c r="G8503">
        <v>1</v>
      </c>
      <c r="H8503">
        <v>2023</v>
      </c>
      <c r="I8503" t="s">
        <v>8618</v>
      </c>
    </row>
    <row r="8504" spans="1:9" x14ac:dyDescent="0.3">
      <c r="A8504" t="s">
        <v>10144</v>
      </c>
      <c r="B8504" t="s">
        <v>36</v>
      </c>
      <c r="C8504">
        <v>7648876604</v>
      </c>
      <c r="D8504" s="2">
        <v>1</v>
      </c>
      <c r="E8504" t="str">
        <f>"4574674200937431"</f>
        <v>4574674200937431</v>
      </c>
      <c r="F8504" t="str">
        <f>"175"</f>
        <v>175</v>
      </c>
      <c r="G8504">
        <v>1</v>
      </c>
      <c r="H8504">
        <v>2023</v>
      </c>
      <c r="I8504" t="s">
        <v>8619</v>
      </c>
    </row>
    <row r="8505" spans="1:9" x14ac:dyDescent="0.3">
      <c r="A8505" t="s">
        <v>10144</v>
      </c>
      <c r="B8505" t="s">
        <v>36</v>
      </c>
      <c r="C8505">
        <v>7648876604</v>
      </c>
      <c r="D8505" s="2">
        <v>1</v>
      </c>
      <c r="E8505" t="str">
        <f>"4574674200937712"</f>
        <v>4574674200937712</v>
      </c>
      <c r="F8505" t="str">
        <f>"003"</f>
        <v>003</v>
      </c>
      <c r="G8505">
        <v>1</v>
      </c>
      <c r="H8505">
        <v>2023</v>
      </c>
      <c r="I8505" t="s">
        <v>8620</v>
      </c>
    </row>
    <row r="8506" spans="1:9" x14ac:dyDescent="0.3">
      <c r="A8506" t="s">
        <v>10145</v>
      </c>
      <c r="B8506" t="s">
        <v>37</v>
      </c>
      <c r="C8506">
        <v>7648876604</v>
      </c>
      <c r="D8506" s="2">
        <v>1</v>
      </c>
      <c r="E8506" t="str">
        <f>"4574674200937811"</f>
        <v>4574674200937811</v>
      </c>
      <c r="F8506" t="str">
        <f>"013"</f>
        <v>013</v>
      </c>
      <c r="G8506">
        <v>1</v>
      </c>
      <c r="H8506">
        <v>2023</v>
      </c>
      <c r="I8506" t="s">
        <v>8621</v>
      </c>
    </row>
    <row r="8507" spans="1:9" x14ac:dyDescent="0.3">
      <c r="A8507" t="s">
        <v>10145</v>
      </c>
      <c r="B8507" t="s">
        <v>37</v>
      </c>
      <c r="C8507">
        <v>7648876604</v>
      </c>
      <c r="D8507" s="2">
        <v>1</v>
      </c>
      <c r="E8507" t="str">
        <f>"4574674200937803"</f>
        <v>4574674200937803</v>
      </c>
      <c r="F8507" t="str">
        <f>"435"</f>
        <v>435</v>
      </c>
      <c r="G8507">
        <v>1</v>
      </c>
      <c r="H8507">
        <v>2023</v>
      </c>
      <c r="I8507" t="s">
        <v>8622</v>
      </c>
    </row>
    <row r="8508" spans="1:9" x14ac:dyDescent="0.3">
      <c r="A8508" t="s">
        <v>10145</v>
      </c>
      <c r="B8508" t="s">
        <v>37</v>
      </c>
      <c r="C8508">
        <v>7648876604</v>
      </c>
      <c r="D8508" s="2">
        <v>1</v>
      </c>
      <c r="E8508" t="str">
        <f>"4574674200937829"</f>
        <v>4574674200937829</v>
      </c>
      <c r="F8508" t="str">
        <f>"149"</f>
        <v>149</v>
      </c>
      <c r="G8508">
        <v>1</v>
      </c>
      <c r="H8508">
        <v>2023</v>
      </c>
      <c r="I8508" t="s">
        <v>8623</v>
      </c>
    </row>
    <row r="8509" spans="1:9" x14ac:dyDescent="0.3">
      <c r="A8509" t="s">
        <v>10145</v>
      </c>
      <c r="B8509" t="s">
        <v>37</v>
      </c>
      <c r="C8509">
        <v>7648876604</v>
      </c>
      <c r="D8509" s="2">
        <v>1</v>
      </c>
      <c r="E8509" t="str">
        <f>"4574674200937456"</f>
        <v>4574674200937456</v>
      </c>
      <c r="F8509" t="str">
        <f>"051"</f>
        <v>051</v>
      </c>
      <c r="G8509">
        <v>1</v>
      </c>
      <c r="H8509">
        <v>2023</v>
      </c>
      <c r="I8509" t="s">
        <v>8624</v>
      </c>
    </row>
    <row r="8510" spans="1:9" x14ac:dyDescent="0.3">
      <c r="A8510" t="s">
        <v>10145</v>
      </c>
      <c r="B8510" t="s">
        <v>37</v>
      </c>
      <c r="C8510">
        <v>7648876604</v>
      </c>
      <c r="D8510" s="2">
        <v>1</v>
      </c>
      <c r="E8510" t="str">
        <f>"4574674200937944"</f>
        <v>4574674200937944</v>
      </c>
      <c r="F8510" t="str">
        <f>"513"</f>
        <v>513</v>
      </c>
      <c r="G8510">
        <v>1</v>
      </c>
      <c r="H8510">
        <v>2023</v>
      </c>
      <c r="I8510" t="s">
        <v>8625</v>
      </c>
    </row>
    <row r="8511" spans="1:9" x14ac:dyDescent="0.3">
      <c r="A8511" t="s">
        <v>10145</v>
      </c>
      <c r="B8511" t="s">
        <v>37</v>
      </c>
      <c r="C8511">
        <v>7648876604</v>
      </c>
      <c r="D8511" s="2">
        <v>1</v>
      </c>
      <c r="E8511" t="str">
        <f>"4574674200938009"</f>
        <v>4574674200938009</v>
      </c>
      <c r="F8511" t="str">
        <f>"495"</f>
        <v>495</v>
      </c>
      <c r="G8511">
        <v>1</v>
      </c>
      <c r="H8511">
        <v>2023</v>
      </c>
      <c r="I8511" t="s">
        <v>8626</v>
      </c>
    </row>
    <row r="8512" spans="1:9" x14ac:dyDescent="0.3">
      <c r="A8512" t="s">
        <v>10145</v>
      </c>
      <c r="B8512" t="s">
        <v>37</v>
      </c>
      <c r="C8512">
        <v>7648876604</v>
      </c>
      <c r="D8512" s="2">
        <v>1</v>
      </c>
      <c r="E8512" t="str">
        <f>"4574674200938074"</f>
        <v>4574674200938074</v>
      </c>
      <c r="F8512" t="str">
        <f>"086"</f>
        <v>086</v>
      </c>
      <c r="G8512">
        <v>1</v>
      </c>
      <c r="H8512">
        <v>2023</v>
      </c>
      <c r="I8512" t="s">
        <v>8627</v>
      </c>
    </row>
    <row r="8513" spans="1:9" x14ac:dyDescent="0.3">
      <c r="A8513" t="s">
        <v>10145</v>
      </c>
      <c r="B8513" t="s">
        <v>37</v>
      </c>
      <c r="C8513">
        <v>7648876604</v>
      </c>
      <c r="D8513" s="2">
        <v>1</v>
      </c>
      <c r="E8513" t="str">
        <f>"4574674200938082"</f>
        <v>4574674200938082</v>
      </c>
      <c r="F8513" t="str">
        <f>"649"</f>
        <v>649</v>
      </c>
      <c r="G8513">
        <v>1</v>
      </c>
      <c r="H8513">
        <v>2023</v>
      </c>
      <c r="I8513" t="s">
        <v>8628</v>
      </c>
    </row>
    <row r="8514" spans="1:9" x14ac:dyDescent="0.3">
      <c r="A8514" t="s">
        <v>10145</v>
      </c>
      <c r="B8514" t="s">
        <v>37</v>
      </c>
      <c r="C8514">
        <v>7648876604</v>
      </c>
      <c r="D8514" s="2">
        <v>1</v>
      </c>
      <c r="E8514" t="str">
        <f>"4574674200937480"</f>
        <v>4574674200937480</v>
      </c>
      <c r="F8514" t="str">
        <f>"024"</f>
        <v>024</v>
      </c>
      <c r="G8514">
        <v>1</v>
      </c>
      <c r="H8514">
        <v>2023</v>
      </c>
      <c r="I8514" t="s">
        <v>8629</v>
      </c>
    </row>
    <row r="8515" spans="1:9" x14ac:dyDescent="0.3">
      <c r="A8515" t="s">
        <v>10145</v>
      </c>
      <c r="B8515" t="s">
        <v>37</v>
      </c>
      <c r="C8515">
        <v>7648876604</v>
      </c>
      <c r="D8515" s="2">
        <v>1</v>
      </c>
      <c r="E8515" t="str">
        <f>"4574674200938215"</f>
        <v>4574674200938215</v>
      </c>
      <c r="F8515" t="str">
        <f>"876"</f>
        <v>876</v>
      </c>
      <c r="G8515">
        <v>1</v>
      </c>
      <c r="H8515">
        <v>2023</v>
      </c>
      <c r="I8515" t="s">
        <v>8630</v>
      </c>
    </row>
    <row r="8516" spans="1:9" x14ac:dyDescent="0.3">
      <c r="A8516" t="s">
        <v>10146</v>
      </c>
      <c r="B8516" t="s">
        <v>38</v>
      </c>
      <c r="C8516">
        <v>7648876604</v>
      </c>
      <c r="D8516" s="2">
        <v>1</v>
      </c>
      <c r="E8516" t="str">
        <f>"4574674200937498"</f>
        <v>4574674200937498</v>
      </c>
      <c r="F8516" t="str">
        <f>"367"</f>
        <v>367</v>
      </c>
      <c r="G8516">
        <v>1</v>
      </c>
      <c r="H8516">
        <v>2023</v>
      </c>
      <c r="I8516" t="s">
        <v>8631</v>
      </c>
    </row>
    <row r="8517" spans="1:9" x14ac:dyDescent="0.3">
      <c r="A8517" t="s">
        <v>10146</v>
      </c>
      <c r="B8517" t="s">
        <v>38</v>
      </c>
      <c r="C8517">
        <v>7648876604</v>
      </c>
      <c r="D8517" s="2">
        <v>1</v>
      </c>
      <c r="E8517" t="str">
        <f>"4574674200938306"</f>
        <v>4574674200938306</v>
      </c>
      <c r="F8517" t="str">
        <f>"152"</f>
        <v>152</v>
      </c>
      <c r="G8517">
        <v>1</v>
      </c>
      <c r="H8517">
        <v>2023</v>
      </c>
      <c r="I8517" t="s">
        <v>8632</v>
      </c>
    </row>
    <row r="8518" spans="1:9" x14ac:dyDescent="0.3">
      <c r="A8518" t="s">
        <v>10146</v>
      </c>
      <c r="B8518" t="s">
        <v>38</v>
      </c>
      <c r="C8518">
        <v>7648876604</v>
      </c>
      <c r="D8518" s="2">
        <v>1</v>
      </c>
      <c r="E8518" t="str">
        <f>"4574674200937506"</f>
        <v>4574674200937506</v>
      </c>
      <c r="F8518" t="str">
        <f>"155"</f>
        <v>155</v>
      </c>
      <c r="G8518">
        <v>1</v>
      </c>
      <c r="H8518">
        <v>2023</v>
      </c>
      <c r="I8518" t="s">
        <v>8633</v>
      </c>
    </row>
    <row r="8519" spans="1:9" x14ac:dyDescent="0.3">
      <c r="A8519" t="s">
        <v>10146</v>
      </c>
      <c r="B8519" t="s">
        <v>38</v>
      </c>
      <c r="C8519">
        <v>7648876604</v>
      </c>
      <c r="D8519" s="2">
        <v>1</v>
      </c>
      <c r="E8519" t="str">
        <f>"4574674200938447"</f>
        <v>4574674200938447</v>
      </c>
      <c r="F8519" t="str">
        <f>"063"</f>
        <v>063</v>
      </c>
      <c r="G8519">
        <v>1</v>
      </c>
      <c r="H8519">
        <v>2023</v>
      </c>
      <c r="I8519" t="s">
        <v>8634</v>
      </c>
    </row>
    <row r="8520" spans="1:9" x14ac:dyDescent="0.3">
      <c r="A8520" t="s">
        <v>10146</v>
      </c>
      <c r="B8520" t="s">
        <v>38</v>
      </c>
      <c r="C8520">
        <v>7648876604</v>
      </c>
      <c r="D8520" s="2">
        <v>1</v>
      </c>
      <c r="E8520" t="str">
        <f>"4574674200938462"</f>
        <v>4574674200938462</v>
      </c>
      <c r="F8520" t="str">
        <f>"095"</f>
        <v>095</v>
      </c>
      <c r="G8520">
        <v>1</v>
      </c>
      <c r="H8520">
        <v>2023</v>
      </c>
      <c r="I8520" t="s">
        <v>8635</v>
      </c>
    </row>
    <row r="8521" spans="1:9" x14ac:dyDescent="0.3">
      <c r="A8521" t="s">
        <v>10146</v>
      </c>
      <c r="B8521" t="s">
        <v>38</v>
      </c>
      <c r="C8521">
        <v>7648876604</v>
      </c>
      <c r="D8521" s="2">
        <v>1</v>
      </c>
      <c r="E8521" t="str">
        <f>"4574674200938660"</f>
        <v>4574674200938660</v>
      </c>
      <c r="F8521" t="str">
        <f>"325"</f>
        <v>325</v>
      </c>
      <c r="G8521">
        <v>1</v>
      </c>
      <c r="H8521">
        <v>2023</v>
      </c>
      <c r="I8521" t="s">
        <v>8636</v>
      </c>
    </row>
    <row r="8522" spans="1:9" x14ac:dyDescent="0.3">
      <c r="A8522" t="s">
        <v>10146</v>
      </c>
      <c r="B8522" t="s">
        <v>38</v>
      </c>
      <c r="C8522">
        <v>7648876604</v>
      </c>
      <c r="D8522" s="2">
        <v>1</v>
      </c>
      <c r="E8522" t="str">
        <f>"4574674200938678"</f>
        <v>4574674200938678</v>
      </c>
      <c r="F8522" t="str">
        <f>"544"</f>
        <v>544</v>
      </c>
      <c r="G8522">
        <v>1</v>
      </c>
      <c r="H8522">
        <v>2023</v>
      </c>
      <c r="I8522" t="s">
        <v>8637</v>
      </c>
    </row>
    <row r="8523" spans="1:9" x14ac:dyDescent="0.3">
      <c r="A8523" t="s">
        <v>10146</v>
      </c>
      <c r="B8523" t="s">
        <v>38</v>
      </c>
      <c r="C8523">
        <v>7648876604</v>
      </c>
      <c r="D8523" s="2">
        <v>1</v>
      </c>
      <c r="E8523" t="str">
        <f>"4574674200937548"</f>
        <v>4574674200937548</v>
      </c>
      <c r="F8523" t="str">
        <f>"901"</f>
        <v>901</v>
      </c>
      <c r="G8523">
        <v>1</v>
      </c>
      <c r="H8523">
        <v>2023</v>
      </c>
      <c r="I8523" t="s">
        <v>8638</v>
      </c>
    </row>
    <row r="8524" spans="1:9" x14ac:dyDescent="0.3">
      <c r="A8524" t="s">
        <v>10146</v>
      </c>
      <c r="B8524" t="s">
        <v>38</v>
      </c>
      <c r="C8524">
        <v>7648876604</v>
      </c>
      <c r="D8524" s="2">
        <v>1</v>
      </c>
      <c r="E8524" t="str">
        <f>"4574674200938801"</f>
        <v>4574674200938801</v>
      </c>
      <c r="F8524" t="str">
        <f>"885"</f>
        <v>885</v>
      </c>
      <c r="G8524">
        <v>1</v>
      </c>
      <c r="H8524">
        <v>2023</v>
      </c>
      <c r="I8524" t="s">
        <v>8639</v>
      </c>
    </row>
    <row r="8525" spans="1:9" x14ac:dyDescent="0.3">
      <c r="A8525" t="s">
        <v>10146</v>
      </c>
      <c r="B8525" t="s">
        <v>38</v>
      </c>
      <c r="C8525">
        <v>7648876604</v>
      </c>
      <c r="D8525" s="2">
        <v>1</v>
      </c>
      <c r="E8525" t="str">
        <f>"4574674200938777"</f>
        <v>4574674200938777</v>
      </c>
      <c r="F8525" t="str">
        <f>"159"</f>
        <v>159</v>
      </c>
      <c r="G8525">
        <v>1</v>
      </c>
      <c r="H8525">
        <v>2023</v>
      </c>
      <c r="I8525" t="s">
        <v>8640</v>
      </c>
    </row>
    <row r="8526" spans="1:9" x14ac:dyDescent="0.3">
      <c r="A8526" t="s">
        <v>10147</v>
      </c>
      <c r="B8526" t="s">
        <v>39</v>
      </c>
      <c r="C8526">
        <v>7648876604</v>
      </c>
      <c r="D8526" s="2">
        <v>1</v>
      </c>
      <c r="E8526" t="str">
        <f>"4574674200937555"</f>
        <v>4574674200937555</v>
      </c>
      <c r="F8526" t="str">
        <f>"957"</f>
        <v>957</v>
      </c>
      <c r="G8526">
        <v>1</v>
      </c>
      <c r="H8526">
        <v>2023</v>
      </c>
      <c r="I8526" t="s">
        <v>8641</v>
      </c>
    </row>
    <row r="8527" spans="1:9" x14ac:dyDescent="0.3">
      <c r="A8527" t="s">
        <v>10147</v>
      </c>
      <c r="B8527" t="s">
        <v>39</v>
      </c>
      <c r="C8527">
        <v>7648876604</v>
      </c>
      <c r="D8527" s="2">
        <v>1</v>
      </c>
      <c r="E8527" t="str">
        <f>"4574674200938850"</f>
        <v>4574674200938850</v>
      </c>
      <c r="F8527" t="str">
        <f>"647"</f>
        <v>647</v>
      </c>
      <c r="G8527">
        <v>1</v>
      </c>
      <c r="H8527">
        <v>2023</v>
      </c>
      <c r="I8527" t="s">
        <v>8642</v>
      </c>
    </row>
    <row r="8528" spans="1:9" x14ac:dyDescent="0.3">
      <c r="A8528" t="s">
        <v>10147</v>
      </c>
      <c r="B8528" t="s">
        <v>39</v>
      </c>
      <c r="C8528">
        <v>7648876604</v>
      </c>
      <c r="D8528" s="2">
        <v>1</v>
      </c>
      <c r="E8528" t="str">
        <f>"4574674200938876"</f>
        <v>4574674200938876</v>
      </c>
      <c r="F8528" t="str">
        <f>"884"</f>
        <v>884</v>
      </c>
      <c r="G8528">
        <v>1</v>
      </c>
      <c r="H8528">
        <v>2023</v>
      </c>
      <c r="I8528" t="s">
        <v>8643</v>
      </c>
    </row>
    <row r="8529" spans="1:9" x14ac:dyDescent="0.3">
      <c r="A8529" t="s">
        <v>10147</v>
      </c>
      <c r="B8529" t="s">
        <v>39</v>
      </c>
      <c r="C8529">
        <v>7648876604</v>
      </c>
      <c r="D8529" s="2">
        <v>1</v>
      </c>
      <c r="E8529" t="str">
        <f>"4574674200938884"</f>
        <v>4574674200938884</v>
      </c>
      <c r="F8529" t="str">
        <f>"450"</f>
        <v>450</v>
      </c>
      <c r="G8529">
        <v>1</v>
      </c>
      <c r="H8529">
        <v>2023</v>
      </c>
      <c r="I8529" t="s">
        <v>8644</v>
      </c>
    </row>
    <row r="8530" spans="1:9" x14ac:dyDescent="0.3">
      <c r="A8530" t="s">
        <v>10147</v>
      </c>
      <c r="B8530" t="s">
        <v>39</v>
      </c>
      <c r="C8530">
        <v>7648876604</v>
      </c>
      <c r="D8530" s="2">
        <v>1</v>
      </c>
      <c r="E8530" t="str">
        <f>"4574674200938959"</f>
        <v>4574674200938959</v>
      </c>
      <c r="F8530" t="str">
        <f>"437"</f>
        <v>437</v>
      </c>
      <c r="G8530">
        <v>1</v>
      </c>
      <c r="H8530">
        <v>2023</v>
      </c>
      <c r="I8530" t="s">
        <v>8645</v>
      </c>
    </row>
    <row r="8531" spans="1:9" x14ac:dyDescent="0.3">
      <c r="A8531" t="s">
        <v>10147</v>
      </c>
      <c r="B8531" t="s">
        <v>39</v>
      </c>
      <c r="C8531">
        <v>7648876604</v>
      </c>
      <c r="D8531" s="2">
        <v>1</v>
      </c>
      <c r="E8531" t="str">
        <f>"4574674200938942"</f>
        <v>4574674200938942</v>
      </c>
      <c r="F8531" t="str">
        <f>"774"</f>
        <v>774</v>
      </c>
      <c r="G8531">
        <v>1</v>
      </c>
      <c r="H8531">
        <v>2023</v>
      </c>
      <c r="I8531" t="s">
        <v>8646</v>
      </c>
    </row>
    <row r="8532" spans="1:9" x14ac:dyDescent="0.3">
      <c r="A8532" t="s">
        <v>10147</v>
      </c>
      <c r="B8532" t="s">
        <v>39</v>
      </c>
      <c r="C8532">
        <v>7648876604</v>
      </c>
      <c r="D8532" s="2">
        <v>1</v>
      </c>
      <c r="E8532" t="str">
        <f>"4574674200939023"</f>
        <v>4574674200939023</v>
      </c>
      <c r="F8532" t="str">
        <f>"334"</f>
        <v>334</v>
      </c>
      <c r="G8532">
        <v>1</v>
      </c>
      <c r="H8532">
        <v>2023</v>
      </c>
      <c r="I8532" t="s">
        <v>8647</v>
      </c>
    </row>
    <row r="8533" spans="1:9" x14ac:dyDescent="0.3">
      <c r="A8533" t="s">
        <v>10147</v>
      </c>
      <c r="B8533" t="s">
        <v>39</v>
      </c>
      <c r="C8533">
        <v>7648876604</v>
      </c>
      <c r="D8533" s="2">
        <v>1</v>
      </c>
      <c r="E8533" t="str">
        <f>"4574674200939031"</f>
        <v>4574674200939031</v>
      </c>
      <c r="F8533" t="str">
        <f>"576"</f>
        <v>576</v>
      </c>
      <c r="G8533">
        <v>1</v>
      </c>
      <c r="H8533">
        <v>2023</v>
      </c>
      <c r="I8533" t="s">
        <v>8648</v>
      </c>
    </row>
    <row r="8534" spans="1:9" x14ac:dyDescent="0.3">
      <c r="A8534" t="s">
        <v>10147</v>
      </c>
      <c r="B8534" t="s">
        <v>39</v>
      </c>
      <c r="C8534">
        <v>7648876604</v>
      </c>
      <c r="D8534" s="2">
        <v>1</v>
      </c>
      <c r="E8534" t="str">
        <f>"4574674200939056"</f>
        <v>4574674200939056</v>
      </c>
      <c r="F8534" t="str">
        <f>"830"</f>
        <v>830</v>
      </c>
      <c r="G8534">
        <v>1</v>
      </c>
      <c r="H8534">
        <v>2023</v>
      </c>
      <c r="I8534" t="s">
        <v>8649</v>
      </c>
    </row>
    <row r="8535" spans="1:9" x14ac:dyDescent="0.3">
      <c r="A8535" t="s">
        <v>10147</v>
      </c>
      <c r="B8535" t="s">
        <v>39</v>
      </c>
      <c r="C8535">
        <v>7648876604</v>
      </c>
      <c r="D8535" s="2">
        <v>1</v>
      </c>
      <c r="E8535" t="str">
        <f>"4574674200939205"</f>
        <v>4574674200939205</v>
      </c>
      <c r="F8535" t="str">
        <f>"424"</f>
        <v>424</v>
      </c>
      <c r="G8535">
        <v>1</v>
      </c>
      <c r="H8535">
        <v>2023</v>
      </c>
      <c r="I8535" t="s">
        <v>8650</v>
      </c>
    </row>
    <row r="8536" spans="1:9" x14ac:dyDescent="0.3">
      <c r="A8536" t="s">
        <v>10148</v>
      </c>
      <c r="B8536" t="s">
        <v>40</v>
      </c>
      <c r="C8536">
        <v>7648876604</v>
      </c>
      <c r="D8536" s="2">
        <v>1</v>
      </c>
      <c r="E8536" t="str">
        <f>"4574674200937597"</f>
        <v>4574674200937597</v>
      </c>
      <c r="F8536" t="str">
        <f>"388"</f>
        <v>388</v>
      </c>
      <c r="G8536">
        <v>1</v>
      </c>
      <c r="H8536">
        <v>2023</v>
      </c>
      <c r="I8536" t="s">
        <v>8651</v>
      </c>
    </row>
    <row r="8537" spans="1:9" x14ac:dyDescent="0.3">
      <c r="A8537" t="s">
        <v>10148</v>
      </c>
      <c r="B8537" t="s">
        <v>40</v>
      </c>
      <c r="C8537">
        <v>7648876604</v>
      </c>
      <c r="D8537" s="2">
        <v>1</v>
      </c>
      <c r="E8537" t="str">
        <f>"4574674200939098"</f>
        <v>4574674200939098</v>
      </c>
      <c r="F8537" t="str">
        <f>"331"</f>
        <v>331</v>
      </c>
      <c r="G8537">
        <v>1</v>
      </c>
      <c r="H8537">
        <v>2023</v>
      </c>
      <c r="I8537" t="s">
        <v>8652</v>
      </c>
    </row>
    <row r="8538" spans="1:9" x14ac:dyDescent="0.3">
      <c r="A8538" t="s">
        <v>10148</v>
      </c>
      <c r="B8538" t="s">
        <v>40</v>
      </c>
      <c r="C8538">
        <v>7648876604</v>
      </c>
      <c r="D8538" s="2">
        <v>1</v>
      </c>
      <c r="E8538" t="str">
        <f>"4574674200939114"</f>
        <v>4574674200939114</v>
      </c>
      <c r="F8538" t="str">
        <f>"124"</f>
        <v>124</v>
      </c>
      <c r="G8538">
        <v>1</v>
      </c>
      <c r="H8538">
        <v>2023</v>
      </c>
      <c r="I8538" t="s">
        <v>8653</v>
      </c>
    </row>
    <row r="8539" spans="1:9" x14ac:dyDescent="0.3">
      <c r="A8539" t="s">
        <v>10148</v>
      </c>
      <c r="B8539" t="s">
        <v>40</v>
      </c>
      <c r="C8539">
        <v>7648876604</v>
      </c>
      <c r="D8539" s="2">
        <v>1</v>
      </c>
      <c r="E8539" t="str">
        <f>"4574674200939130"</f>
        <v>4574674200939130</v>
      </c>
      <c r="F8539" t="str">
        <f>"129"</f>
        <v>129</v>
      </c>
      <c r="G8539">
        <v>1</v>
      </c>
      <c r="H8539">
        <v>2023</v>
      </c>
      <c r="I8539" t="s">
        <v>8654</v>
      </c>
    </row>
    <row r="8540" spans="1:9" x14ac:dyDescent="0.3">
      <c r="A8540" t="s">
        <v>10148</v>
      </c>
      <c r="B8540" t="s">
        <v>40</v>
      </c>
      <c r="C8540">
        <v>7648876604</v>
      </c>
      <c r="D8540" s="2">
        <v>1</v>
      </c>
      <c r="E8540" t="str">
        <f>"4574674200939171"</f>
        <v>4574674200939171</v>
      </c>
      <c r="F8540" t="str">
        <f>"573"</f>
        <v>573</v>
      </c>
      <c r="G8540">
        <v>1</v>
      </c>
      <c r="H8540">
        <v>2023</v>
      </c>
      <c r="I8540" t="s">
        <v>8655</v>
      </c>
    </row>
    <row r="8541" spans="1:9" x14ac:dyDescent="0.3">
      <c r="A8541" t="s">
        <v>10148</v>
      </c>
      <c r="B8541" t="s">
        <v>40</v>
      </c>
      <c r="C8541">
        <v>7648876604</v>
      </c>
      <c r="D8541" s="2">
        <v>1</v>
      </c>
      <c r="E8541" t="str">
        <f>"4574674200939189"</f>
        <v>4574674200939189</v>
      </c>
      <c r="F8541" t="str">
        <f>"818"</f>
        <v>818</v>
      </c>
      <c r="G8541">
        <v>1</v>
      </c>
      <c r="H8541">
        <v>2023</v>
      </c>
      <c r="I8541" t="s">
        <v>8656</v>
      </c>
    </row>
    <row r="8542" spans="1:9" x14ac:dyDescent="0.3">
      <c r="A8542" t="s">
        <v>10148</v>
      </c>
      <c r="B8542" t="s">
        <v>40</v>
      </c>
      <c r="C8542">
        <v>7648876604</v>
      </c>
      <c r="D8542" s="2">
        <v>1</v>
      </c>
      <c r="E8542" t="str">
        <f>"4574674200939197"</f>
        <v>4574674200939197</v>
      </c>
      <c r="F8542" t="str">
        <f>"653"</f>
        <v>653</v>
      </c>
      <c r="G8542">
        <v>1</v>
      </c>
      <c r="H8542">
        <v>2023</v>
      </c>
      <c r="I8542" t="s">
        <v>8657</v>
      </c>
    </row>
    <row r="8543" spans="1:9" x14ac:dyDescent="0.3">
      <c r="A8543" t="s">
        <v>10148</v>
      </c>
      <c r="B8543" t="s">
        <v>40</v>
      </c>
      <c r="C8543">
        <v>7648876604</v>
      </c>
      <c r="D8543" s="2">
        <v>1</v>
      </c>
      <c r="E8543" t="str">
        <f>"4574674200939429"</f>
        <v>4574674200939429</v>
      </c>
      <c r="F8543" t="str">
        <f>"177"</f>
        <v>177</v>
      </c>
      <c r="G8543">
        <v>1</v>
      </c>
      <c r="H8543">
        <v>2023</v>
      </c>
      <c r="I8543" t="s">
        <v>8658</v>
      </c>
    </row>
    <row r="8544" spans="1:9" x14ac:dyDescent="0.3">
      <c r="A8544" t="s">
        <v>10148</v>
      </c>
      <c r="B8544" t="s">
        <v>40</v>
      </c>
      <c r="C8544">
        <v>7648876604</v>
      </c>
      <c r="D8544" s="2">
        <v>1</v>
      </c>
      <c r="E8544" t="str">
        <f>"4574674200939460"</f>
        <v>4574674200939460</v>
      </c>
      <c r="F8544" t="str">
        <f>"735"</f>
        <v>735</v>
      </c>
      <c r="G8544">
        <v>1</v>
      </c>
      <c r="H8544">
        <v>2023</v>
      </c>
      <c r="I8544" t="s">
        <v>8659</v>
      </c>
    </row>
    <row r="8545" spans="1:9" x14ac:dyDescent="0.3">
      <c r="A8545" t="s">
        <v>10148</v>
      </c>
      <c r="B8545" t="s">
        <v>40</v>
      </c>
      <c r="C8545">
        <v>7648876604</v>
      </c>
      <c r="D8545" s="2">
        <v>1</v>
      </c>
      <c r="E8545" t="str">
        <f>"4574674200939478"</f>
        <v>4574674200939478</v>
      </c>
      <c r="F8545" t="str">
        <f>"113"</f>
        <v>113</v>
      </c>
      <c r="G8545">
        <v>1</v>
      </c>
      <c r="H8545">
        <v>2023</v>
      </c>
      <c r="I8545" t="s">
        <v>8660</v>
      </c>
    </row>
    <row r="8546" spans="1:9" x14ac:dyDescent="0.3">
      <c r="A8546" t="s">
        <v>10149</v>
      </c>
      <c r="B8546" t="s">
        <v>41</v>
      </c>
      <c r="C8546">
        <v>7648876604</v>
      </c>
      <c r="D8546" s="2">
        <v>1</v>
      </c>
      <c r="E8546" t="str">
        <f>"4574674200939239"</f>
        <v>4574674200939239</v>
      </c>
      <c r="F8546" t="str">
        <f>"656"</f>
        <v>656</v>
      </c>
      <c r="G8546">
        <v>1</v>
      </c>
      <c r="H8546">
        <v>2023</v>
      </c>
      <c r="I8546" t="s">
        <v>8661</v>
      </c>
    </row>
    <row r="8547" spans="1:9" x14ac:dyDescent="0.3">
      <c r="A8547" t="s">
        <v>10149</v>
      </c>
      <c r="B8547" t="s">
        <v>41</v>
      </c>
      <c r="C8547">
        <v>7648876604</v>
      </c>
      <c r="D8547" s="2">
        <v>1</v>
      </c>
      <c r="E8547" t="str">
        <f>"4574674200939494"</f>
        <v>4574674200939494</v>
      </c>
      <c r="F8547" t="str">
        <f>"809"</f>
        <v>809</v>
      </c>
      <c r="G8547">
        <v>1</v>
      </c>
      <c r="H8547">
        <v>2023</v>
      </c>
      <c r="I8547" t="s">
        <v>8662</v>
      </c>
    </row>
    <row r="8548" spans="1:9" x14ac:dyDescent="0.3">
      <c r="A8548" t="s">
        <v>10149</v>
      </c>
      <c r="B8548" t="s">
        <v>41</v>
      </c>
      <c r="C8548">
        <v>7648876604</v>
      </c>
      <c r="D8548" s="2">
        <v>1</v>
      </c>
      <c r="E8548" t="str">
        <f>"4574674200939247"</f>
        <v>4574674200939247</v>
      </c>
      <c r="F8548" t="str">
        <f>"207"</f>
        <v>207</v>
      </c>
      <c r="G8548">
        <v>1</v>
      </c>
      <c r="H8548">
        <v>2023</v>
      </c>
      <c r="I8548" t="s">
        <v>8663</v>
      </c>
    </row>
    <row r="8549" spans="1:9" x14ac:dyDescent="0.3">
      <c r="A8549" t="s">
        <v>10149</v>
      </c>
      <c r="B8549" t="s">
        <v>41</v>
      </c>
      <c r="C8549">
        <v>7648876604</v>
      </c>
      <c r="D8549" s="2">
        <v>1</v>
      </c>
      <c r="E8549" t="str">
        <f>"4574674200939528"</f>
        <v>4574674200939528</v>
      </c>
      <c r="F8549" t="str">
        <f>"464"</f>
        <v>464</v>
      </c>
      <c r="G8549">
        <v>1</v>
      </c>
      <c r="H8549">
        <v>2023</v>
      </c>
      <c r="I8549" t="s">
        <v>8664</v>
      </c>
    </row>
    <row r="8550" spans="1:9" x14ac:dyDescent="0.3">
      <c r="A8550" t="s">
        <v>10149</v>
      </c>
      <c r="B8550" t="s">
        <v>41</v>
      </c>
      <c r="C8550">
        <v>7648876604</v>
      </c>
      <c r="D8550" s="2">
        <v>1</v>
      </c>
      <c r="E8550" t="str">
        <f>"4574674200939544"</f>
        <v>4574674200939544</v>
      </c>
      <c r="F8550" t="str">
        <f>"028"</f>
        <v>028</v>
      </c>
      <c r="G8550">
        <v>1</v>
      </c>
      <c r="H8550">
        <v>2023</v>
      </c>
      <c r="I8550" t="s">
        <v>8665</v>
      </c>
    </row>
    <row r="8551" spans="1:9" x14ac:dyDescent="0.3">
      <c r="A8551" t="s">
        <v>10149</v>
      </c>
      <c r="B8551" t="s">
        <v>41</v>
      </c>
      <c r="C8551">
        <v>7648876604</v>
      </c>
      <c r="D8551" s="2">
        <v>1</v>
      </c>
      <c r="E8551" t="str">
        <f>"4574674200939551"</f>
        <v>4574674200939551</v>
      </c>
      <c r="F8551" t="str">
        <f>"677"</f>
        <v>677</v>
      </c>
      <c r="G8551">
        <v>1</v>
      </c>
      <c r="H8551">
        <v>2023</v>
      </c>
      <c r="I8551" t="s">
        <v>8666</v>
      </c>
    </row>
    <row r="8552" spans="1:9" x14ac:dyDescent="0.3">
      <c r="A8552" t="s">
        <v>10149</v>
      </c>
      <c r="B8552" t="s">
        <v>41</v>
      </c>
      <c r="C8552">
        <v>7648876604</v>
      </c>
      <c r="D8552" s="2">
        <v>1</v>
      </c>
      <c r="E8552" t="str">
        <f>"4574674200939601"</f>
        <v>4574674200939601</v>
      </c>
      <c r="F8552" t="str">
        <f>"533"</f>
        <v>533</v>
      </c>
      <c r="G8552">
        <v>1</v>
      </c>
      <c r="H8552">
        <v>2023</v>
      </c>
      <c r="I8552" t="s">
        <v>8667</v>
      </c>
    </row>
    <row r="8553" spans="1:9" x14ac:dyDescent="0.3">
      <c r="A8553" t="s">
        <v>10149</v>
      </c>
      <c r="B8553" t="s">
        <v>41</v>
      </c>
      <c r="C8553">
        <v>7648876604</v>
      </c>
      <c r="D8553" s="2">
        <v>1</v>
      </c>
      <c r="E8553" t="str">
        <f>"4574674200939643"</f>
        <v>4574674200939643</v>
      </c>
      <c r="F8553" t="str">
        <f>"979"</f>
        <v>979</v>
      </c>
      <c r="G8553">
        <v>1</v>
      </c>
      <c r="H8553">
        <v>2023</v>
      </c>
      <c r="I8553" t="s">
        <v>8668</v>
      </c>
    </row>
    <row r="8554" spans="1:9" x14ac:dyDescent="0.3">
      <c r="A8554" t="s">
        <v>10149</v>
      </c>
      <c r="B8554" t="s">
        <v>41</v>
      </c>
      <c r="C8554">
        <v>7648876604</v>
      </c>
      <c r="D8554" s="2">
        <v>1</v>
      </c>
      <c r="E8554" t="str">
        <f>"4574674200939668"</f>
        <v>4574674200939668</v>
      </c>
      <c r="F8554" t="str">
        <f>"656"</f>
        <v>656</v>
      </c>
      <c r="G8554">
        <v>1</v>
      </c>
      <c r="H8554">
        <v>2023</v>
      </c>
      <c r="I8554" t="s">
        <v>8669</v>
      </c>
    </row>
    <row r="8555" spans="1:9" x14ac:dyDescent="0.3">
      <c r="A8555" t="s">
        <v>10149</v>
      </c>
      <c r="B8555" t="s">
        <v>41</v>
      </c>
      <c r="C8555">
        <v>7648876604</v>
      </c>
      <c r="D8555" s="2">
        <v>1</v>
      </c>
      <c r="E8555" t="str">
        <f>"4574674200939718"</f>
        <v>4574674200939718</v>
      </c>
      <c r="F8555" t="str">
        <f>"635"</f>
        <v>635</v>
      </c>
      <c r="G8555">
        <v>1</v>
      </c>
      <c r="H8555">
        <v>2023</v>
      </c>
      <c r="I8555" t="s">
        <v>8670</v>
      </c>
    </row>
    <row r="8556" spans="1:9" x14ac:dyDescent="0.3">
      <c r="A8556" t="s">
        <v>10150</v>
      </c>
      <c r="B8556" t="s">
        <v>42</v>
      </c>
      <c r="C8556">
        <v>7648876604</v>
      </c>
      <c r="D8556" s="2">
        <v>1</v>
      </c>
      <c r="E8556" t="str">
        <f>"4574674200939270"</f>
        <v>4574674200939270</v>
      </c>
      <c r="F8556" t="str">
        <f>"962"</f>
        <v>962</v>
      </c>
      <c r="G8556">
        <v>1</v>
      </c>
      <c r="H8556">
        <v>2023</v>
      </c>
      <c r="I8556" t="s">
        <v>8671</v>
      </c>
    </row>
    <row r="8557" spans="1:9" x14ac:dyDescent="0.3">
      <c r="A8557" t="s">
        <v>10150</v>
      </c>
      <c r="B8557" t="s">
        <v>42</v>
      </c>
      <c r="C8557">
        <v>7648876604</v>
      </c>
      <c r="D8557" s="2">
        <v>1</v>
      </c>
      <c r="E8557" t="str">
        <f>"4574674200939825"</f>
        <v>4574674200939825</v>
      </c>
      <c r="F8557" t="str">
        <f>"138"</f>
        <v>138</v>
      </c>
      <c r="G8557">
        <v>1</v>
      </c>
      <c r="H8557">
        <v>2023</v>
      </c>
      <c r="I8557" t="s">
        <v>8672</v>
      </c>
    </row>
    <row r="8558" spans="1:9" x14ac:dyDescent="0.3">
      <c r="A8558" t="s">
        <v>10150</v>
      </c>
      <c r="B8558" t="s">
        <v>42</v>
      </c>
      <c r="C8558">
        <v>7648876604</v>
      </c>
      <c r="D8558" s="2">
        <v>1</v>
      </c>
      <c r="E8558" t="str">
        <f>"4574674200939858"</f>
        <v>4574674200939858</v>
      </c>
      <c r="F8558" t="str">
        <f>"845"</f>
        <v>845</v>
      </c>
      <c r="G8558">
        <v>1</v>
      </c>
      <c r="H8558">
        <v>2023</v>
      </c>
      <c r="I8558" t="s">
        <v>8673</v>
      </c>
    </row>
    <row r="8559" spans="1:9" x14ac:dyDescent="0.3">
      <c r="A8559" t="s">
        <v>10150</v>
      </c>
      <c r="B8559" t="s">
        <v>42</v>
      </c>
      <c r="C8559">
        <v>7648876604</v>
      </c>
      <c r="D8559" s="2">
        <v>1</v>
      </c>
      <c r="E8559" t="str">
        <f>"4574674200939833"</f>
        <v>4574674200939833</v>
      </c>
      <c r="F8559" t="str">
        <f>"759"</f>
        <v>759</v>
      </c>
      <c r="G8559">
        <v>1</v>
      </c>
      <c r="H8559">
        <v>2023</v>
      </c>
      <c r="I8559" t="s">
        <v>8674</v>
      </c>
    </row>
    <row r="8560" spans="1:9" x14ac:dyDescent="0.3">
      <c r="A8560" t="s">
        <v>10150</v>
      </c>
      <c r="B8560" t="s">
        <v>42</v>
      </c>
      <c r="C8560">
        <v>7648876604</v>
      </c>
      <c r="D8560" s="2">
        <v>1</v>
      </c>
      <c r="E8560" t="str">
        <f>"4574674200939866"</f>
        <v>4574674200939866</v>
      </c>
      <c r="F8560" t="str">
        <f>"557"</f>
        <v>557</v>
      </c>
      <c r="G8560">
        <v>1</v>
      </c>
      <c r="H8560">
        <v>2023</v>
      </c>
      <c r="I8560" t="s">
        <v>8675</v>
      </c>
    </row>
    <row r="8561" spans="1:9" x14ac:dyDescent="0.3">
      <c r="A8561" t="s">
        <v>10150</v>
      </c>
      <c r="B8561" t="s">
        <v>42</v>
      </c>
      <c r="C8561">
        <v>7648876604</v>
      </c>
      <c r="D8561" s="2">
        <v>1</v>
      </c>
      <c r="E8561" t="str">
        <f>"4574674200939874"</f>
        <v>4574674200939874</v>
      </c>
      <c r="F8561" t="str">
        <f>"686"</f>
        <v>686</v>
      </c>
      <c r="G8561">
        <v>1</v>
      </c>
      <c r="H8561">
        <v>2023</v>
      </c>
      <c r="I8561" t="s">
        <v>8676</v>
      </c>
    </row>
    <row r="8562" spans="1:9" x14ac:dyDescent="0.3">
      <c r="A8562" t="s">
        <v>10150</v>
      </c>
      <c r="B8562" t="s">
        <v>42</v>
      </c>
      <c r="C8562">
        <v>7648876604</v>
      </c>
      <c r="D8562" s="2">
        <v>1</v>
      </c>
      <c r="E8562" t="str">
        <f>"4574674200939288"</f>
        <v>4574674200939288</v>
      </c>
      <c r="F8562" t="str">
        <f>"497"</f>
        <v>497</v>
      </c>
      <c r="G8562">
        <v>1</v>
      </c>
      <c r="H8562">
        <v>2023</v>
      </c>
      <c r="I8562" t="s">
        <v>8677</v>
      </c>
    </row>
    <row r="8563" spans="1:9" x14ac:dyDescent="0.3">
      <c r="A8563" t="s">
        <v>10150</v>
      </c>
      <c r="B8563" t="s">
        <v>42</v>
      </c>
      <c r="C8563">
        <v>7648876604</v>
      </c>
      <c r="D8563" s="2">
        <v>1</v>
      </c>
      <c r="E8563" t="str">
        <f>"4574674200939981"</f>
        <v>4574674200939981</v>
      </c>
      <c r="F8563" t="str">
        <f>"004"</f>
        <v>004</v>
      </c>
      <c r="G8563">
        <v>1</v>
      </c>
      <c r="H8563">
        <v>2023</v>
      </c>
      <c r="I8563" t="s">
        <v>8678</v>
      </c>
    </row>
    <row r="8564" spans="1:9" x14ac:dyDescent="0.3">
      <c r="A8564" t="s">
        <v>10150</v>
      </c>
      <c r="B8564" t="s">
        <v>42</v>
      </c>
      <c r="C8564">
        <v>7648876604</v>
      </c>
      <c r="D8564" s="2">
        <v>1</v>
      </c>
      <c r="E8564" t="str">
        <f>"4574674200939999"</f>
        <v>4574674200939999</v>
      </c>
      <c r="F8564" t="str">
        <f>"819"</f>
        <v>819</v>
      </c>
      <c r="G8564">
        <v>1</v>
      </c>
      <c r="H8564">
        <v>2023</v>
      </c>
      <c r="I8564" t="s">
        <v>8679</v>
      </c>
    </row>
    <row r="8565" spans="1:9" x14ac:dyDescent="0.3">
      <c r="A8565" t="s">
        <v>10150</v>
      </c>
      <c r="B8565" t="s">
        <v>42</v>
      </c>
      <c r="C8565">
        <v>7648876604</v>
      </c>
      <c r="D8565" s="2">
        <v>1</v>
      </c>
      <c r="E8565" t="str">
        <f>"4574674200940021"</f>
        <v>4574674200940021</v>
      </c>
      <c r="F8565" t="str">
        <f>"159"</f>
        <v>159</v>
      </c>
      <c r="G8565">
        <v>1</v>
      </c>
      <c r="H8565">
        <v>2023</v>
      </c>
      <c r="I8565" t="s">
        <v>8680</v>
      </c>
    </row>
    <row r="8566" spans="1:9" x14ac:dyDescent="0.3">
      <c r="A8566" t="s">
        <v>10147</v>
      </c>
      <c r="B8566" t="s">
        <v>39</v>
      </c>
      <c r="C8566">
        <v>7648876604</v>
      </c>
      <c r="D8566" s="2">
        <v>1</v>
      </c>
      <c r="E8566" t="str">
        <f>"4574674200940039"</f>
        <v>4574674200940039</v>
      </c>
      <c r="F8566" t="str">
        <f>"270"</f>
        <v>270</v>
      </c>
      <c r="G8566">
        <v>1</v>
      </c>
      <c r="H8566">
        <v>2023</v>
      </c>
      <c r="I8566" t="s">
        <v>8681</v>
      </c>
    </row>
    <row r="8567" spans="1:9" x14ac:dyDescent="0.3">
      <c r="A8567" t="s">
        <v>10147</v>
      </c>
      <c r="B8567" t="s">
        <v>39</v>
      </c>
      <c r="C8567">
        <v>7648876604</v>
      </c>
      <c r="D8567" s="2">
        <v>1</v>
      </c>
      <c r="E8567" t="str">
        <f>"4574674200940047"</f>
        <v>4574674200940047</v>
      </c>
      <c r="F8567" t="str">
        <f>"491"</f>
        <v>491</v>
      </c>
      <c r="G8567">
        <v>1</v>
      </c>
      <c r="H8567">
        <v>2023</v>
      </c>
      <c r="I8567" t="s">
        <v>8682</v>
      </c>
    </row>
    <row r="8568" spans="1:9" x14ac:dyDescent="0.3">
      <c r="A8568" t="s">
        <v>10147</v>
      </c>
      <c r="B8568" t="s">
        <v>39</v>
      </c>
      <c r="C8568">
        <v>7648876604</v>
      </c>
      <c r="D8568" s="2">
        <v>1</v>
      </c>
      <c r="E8568" t="str">
        <f>"4574674200939304"</f>
        <v>4574674200939304</v>
      </c>
      <c r="F8568" t="str">
        <f>"985"</f>
        <v>985</v>
      </c>
      <c r="G8568">
        <v>1</v>
      </c>
      <c r="H8568">
        <v>2023</v>
      </c>
      <c r="I8568" t="s">
        <v>8683</v>
      </c>
    </row>
    <row r="8569" spans="1:9" x14ac:dyDescent="0.3">
      <c r="A8569" t="s">
        <v>10147</v>
      </c>
      <c r="B8569" t="s">
        <v>39</v>
      </c>
      <c r="C8569">
        <v>7648876604</v>
      </c>
      <c r="D8569" s="2">
        <v>1</v>
      </c>
      <c r="E8569" t="str">
        <f>"4574674200940146"</f>
        <v>4574674200940146</v>
      </c>
      <c r="F8569" t="str">
        <f>"576"</f>
        <v>576</v>
      </c>
      <c r="G8569">
        <v>1</v>
      </c>
      <c r="H8569">
        <v>2023</v>
      </c>
      <c r="I8569" t="s">
        <v>8684</v>
      </c>
    </row>
    <row r="8570" spans="1:9" x14ac:dyDescent="0.3">
      <c r="A8570" t="s">
        <v>10147</v>
      </c>
      <c r="B8570" t="s">
        <v>39</v>
      </c>
      <c r="C8570">
        <v>7648876604</v>
      </c>
      <c r="D8570" s="2">
        <v>1</v>
      </c>
      <c r="E8570" t="str">
        <f>"4574674200940179"</f>
        <v>4574674200940179</v>
      </c>
      <c r="F8570" t="str">
        <f>"429"</f>
        <v>429</v>
      </c>
      <c r="G8570">
        <v>1</v>
      </c>
      <c r="H8570">
        <v>2023</v>
      </c>
      <c r="I8570" t="s">
        <v>8685</v>
      </c>
    </row>
    <row r="8571" spans="1:9" x14ac:dyDescent="0.3">
      <c r="A8571" t="s">
        <v>10147</v>
      </c>
      <c r="B8571" t="s">
        <v>39</v>
      </c>
      <c r="C8571">
        <v>7648876604</v>
      </c>
      <c r="D8571" s="2">
        <v>1</v>
      </c>
      <c r="E8571" t="str">
        <f>"4574674200940187"</f>
        <v>4574674200940187</v>
      </c>
      <c r="F8571" t="str">
        <f>"772"</f>
        <v>772</v>
      </c>
      <c r="G8571">
        <v>1</v>
      </c>
      <c r="H8571">
        <v>2023</v>
      </c>
      <c r="I8571" t="s">
        <v>8686</v>
      </c>
    </row>
    <row r="8572" spans="1:9" x14ac:dyDescent="0.3">
      <c r="A8572" t="s">
        <v>10147</v>
      </c>
      <c r="B8572" t="s">
        <v>39</v>
      </c>
      <c r="C8572">
        <v>7648876604</v>
      </c>
      <c r="D8572" s="2">
        <v>1</v>
      </c>
      <c r="E8572" t="str">
        <f>"4574674200940203"</f>
        <v>4574674200940203</v>
      </c>
      <c r="F8572" t="str">
        <f>"888"</f>
        <v>888</v>
      </c>
      <c r="G8572">
        <v>1</v>
      </c>
      <c r="H8572">
        <v>2023</v>
      </c>
      <c r="I8572" t="s">
        <v>8687</v>
      </c>
    </row>
    <row r="8573" spans="1:9" x14ac:dyDescent="0.3">
      <c r="A8573" t="s">
        <v>10147</v>
      </c>
      <c r="B8573" t="s">
        <v>39</v>
      </c>
      <c r="C8573">
        <v>7648876604</v>
      </c>
      <c r="D8573" s="2">
        <v>1</v>
      </c>
      <c r="E8573" t="str">
        <f>"4574674200940211"</f>
        <v>4574674200940211</v>
      </c>
      <c r="F8573" t="str">
        <f>"104"</f>
        <v>104</v>
      </c>
      <c r="G8573">
        <v>1</v>
      </c>
      <c r="H8573">
        <v>2023</v>
      </c>
      <c r="I8573" t="s">
        <v>8688</v>
      </c>
    </row>
    <row r="8574" spans="1:9" x14ac:dyDescent="0.3">
      <c r="A8574" t="s">
        <v>10147</v>
      </c>
      <c r="B8574" t="s">
        <v>39</v>
      </c>
      <c r="C8574">
        <v>7648876604</v>
      </c>
      <c r="D8574" s="2">
        <v>1</v>
      </c>
      <c r="E8574" t="str">
        <f>"4574674200939320"</f>
        <v>4574674200939320</v>
      </c>
      <c r="F8574" t="str">
        <f>"520"</f>
        <v>520</v>
      </c>
      <c r="G8574">
        <v>1</v>
      </c>
      <c r="H8574">
        <v>2023</v>
      </c>
      <c r="I8574" t="s">
        <v>8689</v>
      </c>
    </row>
    <row r="8575" spans="1:9" x14ac:dyDescent="0.3">
      <c r="A8575" t="s">
        <v>10147</v>
      </c>
      <c r="B8575" t="s">
        <v>39</v>
      </c>
      <c r="C8575">
        <v>7648876604</v>
      </c>
      <c r="D8575" s="2">
        <v>1</v>
      </c>
      <c r="E8575" t="str">
        <f>"4574674200940344"</f>
        <v>4574674200940344</v>
      </c>
      <c r="F8575" t="str">
        <f>"714"</f>
        <v>714</v>
      </c>
      <c r="G8575">
        <v>1</v>
      </c>
      <c r="H8575">
        <v>2023</v>
      </c>
      <c r="I8575" t="s">
        <v>8690</v>
      </c>
    </row>
    <row r="8576" spans="1:9" x14ac:dyDescent="0.3">
      <c r="A8576" t="s">
        <v>10148</v>
      </c>
      <c r="B8576" t="s">
        <v>40</v>
      </c>
      <c r="C8576">
        <v>7648876604</v>
      </c>
      <c r="D8576" s="2">
        <v>1</v>
      </c>
      <c r="E8576" t="str">
        <f>"4574674200940302"</f>
        <v>4574674200940302</v>
      </c>
      <c r="F8576" t="str">
        <f>"447"</f>
        <v>447</v>
      </c>
      <c r="G8576">
        <v>1</v>
      </c>
      <c r="H8576">
        <v>2023</v>
      </c>
      <c r="I8576" t="s">
        <v>8691</v>
      </c>
    </row>
    <row r="8577" spans="1:9" x14ac:dyDescent="0.3">
      <c r="A8577" t="s">
        <v>10148</v>
      </c>
      <c r="B8577" t="s">
        <v>40</v>
      </c>
      <c r="C8577">
        <v>7648876604</v>
      </c>
      <c r="D8577" s="2">
        <v>1</v>
      </c>
      <c r="E8577" t="str">
        <f>"4574674200940310"</f>
        <v>4574674200940310</v>
      </c>
      <c r="F8577" t="str">
        <f>"741"</f>
        <v>741</v>
      </c>
      <c r="G8577">
        <v>1</v>
      </c>
      <c r="H8577">
        <v>2023</v>
      </c>
      <c r="I8577" t="s">
        <v>8692</v>
      </c>
    </row>
    <row r="8578" spans="1:9" x14ac:dyDescent="0.3">
      <c r="A8578" t="s">
        <v>10148</v>
      </c>
      <c r="B8578" t="s">
        <v>40</v>
      </c>
      <c r="C8578">
        <v>7648876604</v>
      </c>
      <c r="D8578" s="2">
        <v>1</v>
      </c>
      <c r="E8578" t="str">
        <f>"4574674200940351"</f>
        <v>4574674200940351</v>
      </c>
      <c r="F8578" t="str">
        <f>"159"</f>
        <v>159</v>
      </c>
      <c r="G8578">
        <v>1</v>
      </c>
      <c r="H8578">
        <v>2023</v>
      </c>
      <c r="I8578" t="s">
        <v>8693</v>
      </c>
    </row>
    <row r="8579" spans="1:9" x14ac:dyDescent="0.3">
      <c r="A8579" t="s">
        <v>10148</v>
      </c>
      <c r="B8579" t="s">
        <v>40</v>
      </c>
      <c r="C8579">
        <v>7648876604</v>
      </c>
      <c r="D8579" s="2">
        <v>1</v>
      </c>
      <c r="E8579" t="str">
        <f>"4574674200940377"</f>
        <v>4574674200940377</v>
      </c>
      <c r="F8579" t="str">
        <f>"958"</f>
        <v>958</v>
      </c>
      <c r="G8579">
        <v>1</v>
      </c>
      <c r="H8579">
        <v>2023</v>
      </c>
      <c r="I8579" t="s">
        <v>8694</v>
      </c>
    </row>
    <row r="8580" spans="1:9" x14ac:dyDescent="0.3">
      <c r="A8580" t="s">
        <v>10148</v>
      </c>
      <c r="B8580" t="s">
        <v>40</v>
      </c>
      <c r="C8580">
        <v>7648876604</v>
      </c>
      <c r="D8580" s="2">
        <v>1</v>
      </c>
      <c r="E8580" t="str">
        <f>"4574674200940435"</f>
        <v>4574674200940435</v>
      </c>
      <c r="F8580" t="str">
        <f>"310"</f>
        <v>310</v>
      </c>
      <c r="G8580">
        <v>1</v>
      </c>
      <c r="H8580">
        <v>2023</v>
      </c>
      <c r="I8580" t="s">
        <v>8695</v>
      </c>
    </row>
    <row r="8581" spans="1:9" x14ac:dyDescent="0.3">
      <c r="A8581" t="s">
        <v>10148</v>
      </c>
      <c r="B8581" t="s">
        <v>40</v>
      </c>
      <c r="C8581">
        <v>7648876604</v>
      </c>
      <c r="D8581" s="2">
        <v>1</v>
      </c>
      <c r="E8581" t="str">
        <f>"4574674200940476"</f>
        <v>4574674200940476</v>
      </c>
      <c r="F8581" t="str">
        <f>"722"</f>
        <v>722</v>
      </c>
      <c r="G8581">
        <v>1</v>
      </c>
      <c r="H8581">
        <v>2023</v>
      </c>
      <c r="I8581" t="s">
        <v>8696</v>
      </c>
    </row>
    <row r="8582" spans="1:9" x14ac:dyDescent="0.3">
      <c r="A8582" t="s">
        <v>10148</v>
      </c>
      <c r="B8582" t="s">
        <v>40</v>
      </c>
      <c r="C8582">
        <v>7648876604</v>
      </c>
      <c r="D8582" s="2">
        <v>1</v>
      </c>
      <c r="E8582" t="str">
        <f>"4574674200940518"</f>
        <v>4574674200940518</v>
      </c>
      <c r="F8582" t="str">
        <f>"475"</f>
        <v>475</v>
      </c>
      <c r="G8582">
        <v>1</v>
      </c>
      <c r="H8582">
        <v>2023</v>
      </c>
      <c r="I8582" t="s">
        <v>8697</v>
      </c>
    </row>
    <row r="8583" spans="1:9" x14ac:dyDescent="0.3">
      <c r="A8583" t="s">
        <v>10148</v>
      </c>
      <c r="B8583" t="s">
        <v>40</v>
      </c>
      <c r="C8583">
        <v>7648876604</v>
      </c>
      <c r="D8583" s="2">
        <v>1</v>
      </c>
      <c r="E8583" t="str">
        <f>"4574674200940542"</f>
        <v>4574674200940542</v>
      </c>
      <c r="F8583" t="str">
        <f>"198"</f>
        <v>198</v>
      </c>
      <c r="G8583">
        <v>1</v>
      </c>
      <c r="H8583">
        <v>2023</v>
      </c>
      <c r="I8583" t="s">
        <v>8698</v>
      </c>
    </row>
    <row r="8584" spans="1:9" x14ac:dyDescent="0.3">
      <c r="A8584" t="s">
        <v>10148</v>
      </c>
      <c r="B8584" t="s">
        <v>40</v>
      </c>
      <c r="C8584">
        <v>7648876604</v>
      </c>
      <c r="D8584" s="2">
        <v>1</v>
      </c>
      <c r="E8584" t="str">
        <f>"4574674200940526"</f>
        <v>4574674200940526</v>
      </c>
      <c r="F8584" t="str">
        <f>"699"</f>
        <v>699</v>
      </c>
      <c r="G8584">
        <v>1</v>
      </c>
      <c r="H8584">
        <v>2023</v>
      </c>
      <c r="I8584" t="s">
        <v>8699</v>
      </c>
    </row>
    <row r="8585" spans="1:9" x14ac:dyDescent="0.3">
      <c r="A8585" t="s">
        <v>10148</v>
      </c>
      <c r="B8585" t="s">
        <v>40</v>
      </c>
      <c r="C8585">
        <v>7648876604</v>
      </c>
      <c r="D8585" s="2">
        <v>1</v>
      </c>
      <c r="E8585" t="str">
        <f>"4574674200939346"</f>
        <v>4574674200939346</v>
      </c>
      <c r="F8585" t="str">
        <f>"301"</f>
        <v>301</v>
      </c>
      <c r="G8585">
        <v>1</v>
      </c>
      <c r="H8585">
        <v>2023</v>
      </c>
      <c r="I8585" t="s">
        <v>8700</v>
      </c>
    </row>
    <row r="8586" spans="1:9" x14ac:dyDescent="0.3">
      <c r="A8586" t="s">
        <v>10149</v>
      </c>
      <c r="B8586" t="s">
        <v>41</v>
      </c>
      <c r="C8586">
        <v>7648876604</v>
      </c>
      <c r="D8586" s="2">
        <v>1</v>
      </c>
      <c r="E8586" t="str">
        <f>"4574674200940617"</f>
        <v>4574674200940617</v>
      </c>
      <c r="F8586" t="str">
        <f>"689"</f>
        <v>689</v>
      </c>
      <c r="G8586">
        <v>1</v>
      </c>
      <c r="H8586">
        <v>2023</v>
      </c>
      <c r="I8586" t="s">
        <v>8701</v>
      </c>
    </row>
    <row r="8587" spans="1:9" x14ac:dyDescent="0.3">
      <c r="A8587" t="s">
        <v>10149</v>
      </c>
      <c r="B8587" t="s">
        <v>41</v>
      </c>
      <c r="C8587">
        <v>7648876604</v>
      </c>
      <c r="D8587" s="2">
        <v>1</v>
      </c>
      <c r="E8587" t="str">
        <f>"4574674200940609"</f>
        <v>4574674200940609</v>
      </c>
      <c r="F8587" t="str">
        <f>"242"</f>
        <v>242</v>
      </c>
      <c r="G8587">
        <v>1</v>
      </c>
      <c r="H8587">
        <v>2023</v>
      </c>
      <c r="I8587" t="s">
        <v>8702</v>
      </c>
    </row>
    <row r="8588" spans="1:9" x14ac:dyDescent="0.3">
      <c r="A8588" t="s">
        <v>10149</v>
      </c>
      <c r="B8588" t="s">
        <v>41</v>
      </c>
      <c r="C8588">
        <v>7648876604</v>
      </c>
      <c r="D8588" s="2">
        <v>1</v>
      </c>
      <c r="E8588" t="str">
        <f>"4574674200940690"</f>
        <v>4574674200940690</v>
      </c>
      <c r="F8588" t="str">
        <f>"898"</f>
        <v>898</v>
      </c>
      <c r="G8588">
        <v>1</v>
      </c>
      <c r="H8588">
        <v>2023</v>
      </c>
      <c r="I8588" t="s">
        <v>8703</v>
      </c>
    </row>
    <row r="8589" spans="1:9" x14ac:dyDescent="0.3">
      <c r="A8589" t="s">
        <v>10149</v>
      </c>
      <c r="B8589" t="s">
        <v>41</v>
      </c>
      <c r="C8589">
        <v>7648876604</v>
      </c>
      <c r="D8589" s="2">
        <v>1</v>
      </c>
      <c r="E8589" t="str">
        <f>"4574674200940716"</f>
        <v>4574674200940716</v>
      </c>
      <c r="F8589" t="str">
        <f>"876"</f>
        <v>876</v>
      </c>
      <c r="G8589">
        <v>1</v>
      </c>
      <c r="H8589">
        <v>2023</v>
      </c>
      <c r="I8589" t="s">
        <v>8704</v>
      </c>
    </row>
    <row r="8590" spans="1:9" x14ac:dyDescent="0.3">
      <c r="A8590" t="s">
        <v>10149</v>
      </c>
      <c r="B8590" t="s">
        <v>41</v>
      </c>
      <c r="C8590">
        <v>7648876604</v>
      </c>
      <c r="D8590" s="2">
        <v>1</v>
      </c>
      <c r="E8590" t="str">
        <f>"4574674200939361"</f>
        <v>4574674200939361</v>
      </c>
      <c r="F8590" t="str">
        <f>"051"</f>
        <v>051</v>
      </c>
      <c r="G8590">
        <v>1</v>
      </c>
      <c r="H8590">
        <v>2023</v>
      </c>
      <c r="I8590" t="s">
        <v>8705</v>
      </c>
    </row>
    <row r="8591" spans="1:9" x14ac:dyDescent="0.3">
      <c r="A8591" t="s">
        <v>10149</v>
      </c>
      <c r="B8591" t="s">
        <v>41</v>
      </c>
      <c r="C8591">
        <v>7648876604</v>
      </c>
      <c r="D8591" s="2">
        <v>1</v>
      </c>
      <c r="E8591" t="str">
        <f>"4574674200940732"</f>
        <v>4574674200940732</v>
      </c>
      <c r="F8591" t="str">
        <f>"073"</f>
        <v>073</v>
      </c>
      <c r="G8591">
        <v>1</v>
      </c>
      <c r="H8591">
        <v>2023</v>
      </c>
      <c r="I8591" t="s">
        <v>8706</v>
      </c>
    </row>
    <row r="8592" spans="1:9" x14ac:dyDescent="0.3">
      <c r="A8592" t="s">
        <v>10149</v>
      </c>
      <c r="B8592" t="s">
        <v>41</v>
      </c>
      <c r="C8592">
        <v>7648876604</v>
      </c>
      <c r="D8592" s="2">
        <v>1</v>
      </c>
      <c r="E8592" t="str">
        <f>"4574674200940740"</f>
        <v>4574674200940740</v>
      </c>
      <c r="F8592" t="str">
        <f>"390"</f>
        <v>390</v>
      </c>
      <c r="G8592">
        <v>1</v>
      </c>
      <c r="H8592">
        <v>2023</v>
      </c>
      <c r="I8592" t="s">
        <v>8707</v>
      </c>
    </row>
    <row r="8593" spans="1:9" x14ac:dyDescent="0.3">
      <c r="A8593" t="s">
        <v>10149</v>
      </c>
      <c r="B8593" t="s">
        <v>41</v>
      </c>
      <c r="C8593">
        <v>7648876604</v>
      </c>
      <c r="D8593" s="2">
        <v>1</v>
      </c>
      <c r="E8593" t="str">
        <f>"4574674200940799"</f>
        <v>4574674200940799</v>
      </c>
      <c r="F8593" t="str">
        <f>"008"</f>
        <v>008</v>
      </c>
      <c r="G8593">
        <v>1</v>
      </c>
      <c r="H8593">
        <v>2023</v>
      </c>
      <c r="I8593" t="s">
        <v>8708</v>
      </c>
    </row>
    <row r="8594" spans="1:9" x14ac:dyDescent="0.3">
      <c r="A8594" t="s">
        <v>10149</v>
      </c>
      <c r="B8594" t="s">
        <v>41</v>
      </c>
      <c r="C8594">
        <v>7648876604</v>
      </c>
      <c r="D8594" s="2">
        <v>1</v>
      </c>
      <c r="E8594" t="str">
        <f>"4574674200940856"</f>
        <v>4574674200940856</v>
      </c>
      <c r="F8594" t="str">
        <f>"259"</f>
        <v>259</v>
      </c>
      <c r="G8594">
        <v>1</v>
      </c>
      <c r="H8594">
        <v>2023</v>
      </c>
      <c r="I8594" t="s">
        <v>8709</v>
      </c>
    </row>
    <row r="8595" spans="1:9" x14ac:dyDescent="0.3">
      <c r="A8595" t="s">
        <v>10149</v>
      </c>
      <c r="B8595" t="s">
        <v>41</v>
      </c>
      <c r="C8595">
        <v>7648876604</v>
      </c>
      <c r="D8595" s="2">
        <v>1</v>
      </c>
      <c r="E8595" t="str">
        <f>"4574674200940864"</f>
        <v>4574674200940864</v>
      </c>
      <c r="F8595" t="str">
        <f>"975"</f>
        <v>975</v>
      </c>
      <c r="G8595">
        <v>1</v>
      </c>
      <c r="H8595">
        <v>2023</v>
      </c>
      <c r="I8595" t="s">
        <v>8710</v>
      </c>
    </row>
    <row r="8596" spans="1:9" x14ac:dyDescent="0.3">
      <c r="A8596" t="s">
        <v>10150</v>
      </c>
      <c r="B8596" t="s">
        <v>42</v>
      </c>
      <c r="C8596">
        <v>7648876604</v>
      </c>
      <c r="D8596" s="2">
        <v>1</v>
      </c>
      <c r="E8596" t="str">
        <f>"4574674200939379"</f>
        <v>4574674200939379</v>
      </c>
      <c r="F8596" t="str">
        <f>"718"</f>
        <v>718</v>
      </c>
      <c r="G8596">
        <v>1</v>
      </c>
      <c r="H8596">
        <v>2023</v>
      </c>
      <c r="I8596" t="s">
        <v>8711</v>
      </c>
    </row>
    <row r="8597" spans="1:9" x14ac:dyDescent="0.3">
      <c r="A8597" t="s">
        <v>10150</v>
      </c>
      <c r="B8597" t="s">
        <v>42</v>
      </c>
      <c r="C8597">
        <v>7648876604</v>
      </c>
      <c r="D8597" s="2">
        <v>1</v>
      </c>
      <c r="E8597" t="str">
        <f>"4574674200940898"</f>
        <v>4574674200940898</v>
      </c>
      <c r="F8597" t="str">
        <f>"659"</f>
        <v>659</v>
      </c>
      <c r="G8597">
        <v>1</v>
      </c>
      <c r="H8597">
        <v>2023</v>
      </c>
      <c r="I8597" t="s">
        <v>8712</v>
      </c>
    </row>
    <row r="8598" spans="1:9" x14ac:dyDescent="0.3">
      <c r="A8598" t="s">
        <v>10150</v>
      </c>
      <c r="B8598" t="s">
        <v>42</v>
      </c>
      <c r="C8598">
        <v>7648876604</v>
      </c>
      <c r="D8598" s="2">
        <v>1</v>
      </c>
      <c r="E8598" t="str">
        <f>"4574674200940955"</f>
        <v>4574674200940955</v>
      </c>
      <c r="F8598" t="str">
        <f>"069"</f>
        <v>069</v>
      </c>
      <c r="G8598">
        <v>1</v>
      </c>
      <c r="H8598">
        <v>2023</v>
      </c>
      <c r="I8598" t="s">
        <v>8713</v>
      </c>
    </row>
    <row r="8599" spans="1:9" x14ac:dyDescent="0.3">
      <c r="A8599" t="s">
        <v>10150</v>
      </c>
      <c r="B8599" t="s">
        <v>42</v>
      </c>
      <c r="C8599">
        <v>7648876604</v>
      </c>
      <c r="D8599" s="2">
        <v>1</v>
      </c>
      <c r="E8599" t="str">
        <f>"4574674200940971"</f>
        <v>4574674200940971</v>
      </c>
      <c r="F8599" t="str">
        <f>"627"</f>
        <v>627</v>
      </c>
      <c r="G8599">
        <v>1</v>
      </c>
      <c r="H8599">
        <v>2023</v>
      </c>
      <c r="I8599" t="s">
        <v>8714</v>
      </c>
    </row>
    <row r="8600" spans="1:9" x14ac:dyDescent="0.3">
      <c r="A8600" t="s">
        <v>10150</v>
      </c>
      <c r="B8600" t="s">
        <v>42</v>
      </c>
      <c r="C8600">
        <v>7648876604</v>
      </c>
      <c r="D8600" s="2">
        <v>1</v>
      </c>
      <c r="E8600" t="str">
        <f>"4574674200941045"</f>
        <v>4574674200941045</v>
      </c>
      <c r="F8600" t="str">
        <f>"568"</f>
        <v>568</v>
      </c>
      <c r="G8600">
        <v>1</v>
      </c>
      <c r="H8600">
        <v>2023</v>
      </c>
      <c r="I8600" t="s">
        <v>8715</v>
      </c>
    </row>
    <row r="8601" spans="1:9" x14ac:dyDescent="0.3">
      <c r="A8601" t="s">
        <v>10150</v>
      </c>
      <c r="B8601" t="s">
        <v>42</v>
      </c>
      <c r="C8601">
        <v>7648876604</v>
      </c>
      <c r="D8601" s="2">
        <v>1</v>
      </c>
      <c r="E8601" t="str">
        <f>"4574674200941052"</f>
        <v>4574674200941052</v>
      </c>
      <c r="F8601" t="str">
        <f>"523"</f>
        <v>523</v>
      </c>
      <c r="G8601">
        <v>1</v>
      </c>
      <c r="H8601">
        <v>2023</v>
      </c>
      <c r="I8601" t="s">
        <v>8716</v>
      </c>
    </row>
    <row r="8602" spans="1:9" x14ac:dyDescent="0.3">
      <c r="A8602" t="s">
        <v>10150</v>
      </c>
      <c r="B8602" t="s">
        <v>42</v>
      </c>
      <c r="C8602">
        <v>7648876604</v>
      </c>
      <c r="D8602" s="2">
        <v>1</v>
      </c>
      <c r="E8602" t="str">
        <f>"4574674200941201"</f>
        <v>4574674200941201</v>
      </c>
      <c r="F8602" t="str">
        <f>"195"</f>
        <v>195</v>
      </c>
      <c r="G8602">
        <v>1</v>
      </c>
      <c r="H8602">
        <v>2023</v>
      </c>
      <c r="I8602" t="s">
        <v>8717</v>
      </c>
    </row>
    <row r="8603" spans="1:9" x14ac:dyDescent="0.3">
      <c r="A8603" t="s">
        <v>10150</v>
      </c>
      <c r="B8603" t="s">
        <v>42</v>
      </c>
      <c r="C8603">
        <v>7648876604</v>
      </c>
      <c r="D8603" s="2">
        <v>1</v>
      </c>
      <c r="E8603" t="str">
        <f>"4574674200941086"</f>
        <v>4574674200941086</v>
      </c>
      <c r="F8603" t="str">
        <f>"660"</f>
        <v>660</v>
      </c>
      <c r="G8603">
        <v>1</v>
      </c>
      <c r="H8603">
        <v>2023</v>
      </c>
      <c r="I8603" t="s">
        <v>8718</v>
      </c>
    </row>
    <row r="8604" spans="1:9" x14ac:dyDescent="0.3">
      <c r="A8604" t="s">
        <v>10150</v>
      </c>
      <c r="B8604" t="s">
        <v>42</v>
      </c>
      <c r="C8604">
        <v>7648876604</v>
      </c>
      <c r="D8604" s="2">
        <v>1</v>
      </c>
      <c r="E8604" t="str">
        <f>"4574674200941094"</f>
        <v>4574674200941094</v>
      </c>
      <c r="F8604" t="str">
        <f>"120"</f>
        <v>120</v>
      </c>
      <c r="G8604">
        <v>1</v>
      </c>
      <c r="H8604">
        <v>2023</v>
      </c>
      <c r="I8604" t="s">
        <v>8719</v>
      </c>
    </row>
    <row r="8605" spans="1:9" x14ac:dyDescent="0.3">
      <c r="A8605" t="s">
        <v>10150</v>
      </c>
      <c r="B8605" t="s">
        <v>42</v>
      </c>
      <c r="C8605">
        <v>7648876604</v>
      </c>
      <c r="D8605" s="2">
        <v>1</v>
      </c>
      <c r="E8605" t="str">
        <f>"4574674200941193"</f>
        <v>4574674200941193</v>
      </c>
      <c r="F8605" t="str">
        <f>"356"</f>
        <v>356</v>
      </c>
      <c r="G8605">
        <v>1</v>
      </c>
      <c r="H8605">
        <v>2023</v>
      </c>
      <c r="I8605" t="s">
        <v>8720</v>
      </c>
    </row>
    <row r="8606" spans="1:9" x14ac:dyDescent="0.3">
      <c r="A8606" t="s">
        <v>10151</v>
      </c>
      <c r="B8606" t="s">
        <v>43</v>
      </c>
      <c r="C8606">
        <v>7648876604</v>
      </c>
      <c r="D8606" s="2">
        <v>1</v>
      </c>
      <c r="E8606" t="str">
        <f>"4574674200941169"</f>
        <v>4574674200941169</v>
      </c>
      <c r="F8606" t="str">
        <f>"705"</f>
        <v>705</v>
      </c>
      <c r="G8606">
        <v>1</v>
      </c>
      <c r="H8606">
        <v>2023</v>
      </c>
      <c r="I8606" t="s">
        <v>8721</v>
      </c>
    </row>
    <row r="8607" spans="1:9" x14ac:dyDescent="0.3">
      <c r="A8607" t="s">
        <v>10151</v>
      </c>
      <c r="B8607" t="s">
        <v>43</v>
      </c>
      <c r="C8607">
        <v>7648876604</v>
      </c>
      <c r="D8607" s="2">
        <v>1</v>
      </c>
      <c r="E8607" t="str">
        <f>"4574674200941151"</f>
        <v>4574674200941151</v>
      </c>
      <c r="F8607" t="str">
        <f>"162"</f>
        <v>162</v>
      </c>
      <c r="G8607">
        <v>1</v>
      </c>
      <c r="H8607">
        <v>2023</v>
      </c>
      <c r="I8607" t="s">
        <v>8722</v>
      </c>
    </row>
    <row r="8608" spans="1:9" x14ac:dyDescent="0.3">
      <c r="A8608" t="s">
        <v>10151</v>
      </c>
      <c r="B8608" t="s">
        <v>43</v>
      </c>
      <c r="C8608">
        <v>7648876604</v>
      </c>
      <c r="D8608" s="2">
        <v>1</v>
      </c>
      <c r="E8608" t="str">
        <f>"4574674200941219"</f>
        <v>4574674200941219</v>
      </c>
      <c r="F8608" t="str">
        <f>"181"</f>
        <v>181</v>
      </c>
      <c r="G8608">
        <v>1</v>
      </c>
      <c r="H8608">
        <v>2023</v>
      </c>
      <c r="I8608" t="s">
        <v>8723</v>
      </c>
    </row>
    <row r="8609" spans="1:9" x14ac:dyDescent="0.3">
      <c r="A8609" t="s">
        <v>10151</v>
      </c>
      <c r="B8609" t="s">
        <v>43</v>
      </c>
      <c r="C8609">
        <v>7648876604</v>
      </c>
      <c r="D8609" s="2">
        <v>1</v>
      </c>
      <c r="E8609" t="str">
        <f>"4574674200941482"</f>
        <v>4574674200941482</v>
      </c>
      <c r="F8609" t="str">
        <f>"492"</f>
        <v>492</v>
      </c>
      <c r="G8609">
        <v>1</v>
      </c>
      <c r="H8609">
        <v>2023</v>
      </c>
      <c r="I8609" t="s">
        <v>8724</v>
      </c>
    </row>
    <row r="8610" spans="1:9" x14ac:dyDescent="0.3">
      <c r="A8610" t="s">
        <v>10151</v>
      </c>
      <c r="B8610" t="s">
        <v>43</v>
      </c>
      <c r="C8610">
        <v>7648876604</v>
      </c>
      <c r="D8610" s="2">
        <v>1</v>
      </c>
      <c r="E8610" t="str">
        <f>"4574674200941508"</f>
        <v>4574674200941508</v>
      </c>
      <c r="F8610" t="str">
        <f>"570"</f>
        <v>570</v>
      </c>
      <c r="G8610">
        <v>1</v>
      </c>
      <c r="H8610">
        <v>2023</v>
      </c>
      <c r="I8610" t="s">
        <v>8725</v>
      </c>
    </row>
    <row r="8611" spans="1:9" x14ac:dyDescent="0.3">
      <c r="A8611" t="s">
        <v>10151</v>
      </c>
      <c r="B8611" t="s">
        <v>43</v>
      </c>
      <c r="C8611">
        <v>7648876604</v>
      </c>
      <c r="D8611" s="2">
        <v>1</v>
      </c>
      <c r="E8611" t="str">
        <f>"4574674200941581"</f>
        <v>4574674200941581</v>
      </c>
      <c r="F8611" t="str">
        <f>"711"</f>
        <v>711</v>
      </c>
      <c r="G8611">
        <v>1</v>
      </c>
      <c r="H8611">
        <v>2023</v>
      </c>
      <c r="I8611" t="s">
        <v>8726</v>
      </c>
    </row>
    <row r="8612" spans="1:9" x14ac:dyDescent="0.3">
      <c r="A8612" t="s">
        <v>10151</v>
      </c>
      <c r="B8612" t="s">
        <v>43</v>
      </c>
      <c r="C8612">
        <v>7648876604</v>
      </c>
      <c r="D8612" s="2">
        <v>1</v>
      </c>
      <c r="E8612" t="str">
        <f>"4574674200941599"</f>
        <v>4574674200941599</v>
      </c>
      <c r="F8612" t="str">
        <f>"763"</f>
        <v>763</v>
      </c>
      <c r="G8612">
        <v>1</v>
      </c>
      <c r="H8612">
        <v>2023</v>
      </c>
      <c r="I8612" t="s">
        <v>8727</v>
      </c>
    </row>
    <row r="8613" spans="1:9" x14ac:dyDescent="0.3">
      <c r="A8613" t="s">
        <v>10151</v>
      </c>
      <c r="B8613" t="s">
        <v>43</v>
      </c>
      <c r="C8613">
        <v>7648876604</v>
      </c>
      <c r="D8613" s="2">
        <v>1</v>
      </c>
      <c r="E8613" t="str">
        <f>"4574674200941243"</f>
        <v>4574674200941243</v>
      </c>
      <c r="F8613" t="str">
        <f>"585"</f>
        <v>585</v>
      </c>
      <c r="G8613">
        <v>1</v>
      </c>
      <c r="H8613">
        <v>2023</v>
      </c>
      <c r="I8613" t="s">
        <v>8728</v>
      </c>
    </row>
    <row r="8614" spans="1:9" x14ac:dyDescent="0.3">
      <c r="A8614" t="s">
        <v>10151</v>
      </c>
      <c r="B8614" t="s">
        <v>43</v>
      </c>
      <c r="C8614">
        <v>7648876604</v>
      </c>
      <c r="D8614" s="2">
        <v>1</v>
      </c>
      <c r="E8614" t="str">
        <f>"4574674200941706"</f>
        <v>4574674200941706</v>
      </c>
      <c r="F8614" t="str">
        <f>"781"</f>
        <v>781</v>
      </c>
      <c r="G8614">
        <v>1</v>
      </c>
      <c r="H8614">
        <v>2023</v>
      </c>
      <c r="I8614" t="s">
        <v>8729</v>
      </c>
    </row>
    <row r="8615" spans="1:9" x14ac:dyDescent="0.3">
      <c r="A8615" t="s">
        <v>10151</v>
      </c>
      <c r="B8615" t="s">
        <v>43</v>
      </c>
      <c r="C8615">
        <v>7648876604</v>
      </c>
      <c r="D8615" s="2">
        <v>1</v>
      </c>
      <c r="E8615" t="str">
        <f>"4574674200941748"</f>
        <v>4574674200941748</v>
      </c>
      <c r="F8615" t="str">
        <f>"017"</f>
        <v>017</v>
      </c>
      <c r="G8615">
        <v>1</v>
      </c>
      <c r="H8615">
        <v>2023</v>
      </c>
      <c r="I8615" t="s">
        <v>8730</v>
      </c>
    </row>
    <row r="8616" spans="1:9" x14ac:dyDescent="0.3">
      <c r="A8616" t="s">
        <v>10152</v>
      </c>
      <c r="B8616" t="s">
        <v>44</v>
      </c>
      <c r="C8616">
        <v>7648876604</v>
      </c>
      <c r="D8616" s="2">
        <v>1</v>
      </c>
      <c r="E8616" t="str">
        <f>"4574674200941763"</f>
        <v>4574674200941763</v>
      </c>
      <c r="F8616" t="str">
        <f>"820"</f>
        <v>820</v>
      </c>
      <c r="G8616">
        <v>1</v>
      </c>
      <c r="H8616">
        <v>2023</v>
      </c>
      <c r="I8616" t="s">
        <v>8731</v>
      </c>
    </row>
    <row r="8617" spans="1:9" x14ac:dyDescent="0.3">
      <c r="A8617" t="s">
        <v>10152</v>
      </c>
      <c r="B8617" t="s">
        <v>44</v>
      </c>
      <c r="C8617">
        <v>7648876604</v>
      </c>
      <c r="D8617" s="2">
        <v>1</v>
      </c>
      <c r="E8617" t="str">
        <f>"4574674200941250"</f>
        <v>4574674200941250</v>
      </c>
      <c r="F8617" t="str">
        <f>"660"</f>
        <v>660</v>
      </c>
      <c r="G8617">
        <v>1</v>
      </c>
      <c r="H8617">
        <v>2023</v>
      </c>
      <c r="I8617" t="s">
        <v>8732</v>
      </c>
    </row>
    <row r="8618" spans="1:9" x14ac:dyDescent="0.3">
      <c r="A8618" t="s">
        <v>10152</v>
      </c>
      <c r="B8618" t="s">
        <v>44</v>
      </c>
      <c r="C8618">
        <v>7648876604</v>
      </c>
      <c r="D8618" s="2">
        <v>1</v>
      </c>
      <c r="E8618" t="str">
        <f>"4574674200941854"</f>
        <v>4574674200941854</v>
      </c>
      <c r="F8618" t="str">
        <f>"916"</f>
        <v>916</v>
      </c>
      <c r="G8618">
        <v>1</v>
      </c>
      <c r="H8618">
        <v>2023</v>
      </c>
      <c r="I8618" t="s">
        <v>8733</v>
      </c>
    </row>
    <row r="8619" spans="1:9" x14ac:dyDescent="0.3">
      <c r="A8619" t="s">
        <v>10152</v>
      </c>
      <c r="B8619" t="s">
        <v>44</v>
      </c>
      <c r="C8619">
        <v>7648876604</v>
      </c>
      <c r="D8619" s="2">
        <v>1</v>
      </c>
      <c r="E8619" t="str">
        <f>"4574674200941862"</f>
        <v>4574674200941862</v>
      </c>
      <c r="F8619" t="str">
        <f>"408"</f>
        <v>408</v>
      </c>
      <c r="G8619">
        <v>1</v>
      </c>
      <c r="H8619">
        <v>2023</v>
      </c>
      <c r="I8619" t="s">
        <v>8734</v>
      </c>
    </row>
    <row r="8620" spans="1:9" x14ac:dyDescent="0.3">
      <c r="A8620" t="s">
        <v>10152</v>
      </c>
      <c r="B8620" t="s">
        <v>44</v>
      </c>
      <c r="C8620">
        <v>7648876604</v>
      </c>
      <c r="D8620" s="2">
        <v>1</v>
      </c>
      <c r="E8620" t="str">
        <f>"4574674200941284"</f>
        <v>4574674200941284</v>
      </c>
      <c r="F8620" t="str">
        <f>"329"</f>
        <v>329</v>
      </c>
      <c r="G8620">
        <v>1</v>
      </c>
      <c r="H8620">
        <v>2023</v>
      </c>
      <c r="I8620" t="s">
        <v>8735</v>
      </c>
    </row>
    <row r="8621" spans="1:9" x14ac:dyDescent="0.3">
      <c r="A8621" t="s">
        <v>10152</v>
      </c>
      <c r="B8621" t="s">
        <v>44</v>
      </c>
      <c r="C8621">
        <v>7648876604</v>
      </c>
      <c r="D8621" s="2">
        <v>1</v>
      </c>
      <c r="E8621" t="str">
        <f>"4574674200941938"</f>
        <v>4574674200941938</v>
      </c>
      <c r="F8621" t="str">
        <f>"898"</f>
        <v>898</v>
      </c>
      <c r="G8621">
        <v>1</v>
      </c>
      <c r="H8621">
        <v>2023</v>
      </c>
      <c r="I8621" t="s">
        <v>8736</v>
      </c>
    </row>
    <row r="8622" spans="1:9" x14ac:dyDescent="0.3">
      <c r="A8622" t="s">
        <v>10152</v>
      </c>
      <c r="B8622" t="s">
        <v>44</v>
      </c>
      <c r="C8622">
        <v>7648876604</v>
      </c>
      <c r="D8622" s="2">
        <v>1</v>
      </c>
      <c r="E8622" t="str">
        <f>"4574674200941920"</f>
        <v>4574674200941920</v>
      </c>
      <c r="F8622" t="str">
        <f>"413"</f>
        <v>413</v>
      </c>
      <c r="G8622">
        <v>1</v>
      </c>
      <c r="H8622">
        <v>2023</v>
      </c>
      <c r="I8622" t="s">
        <v>8737</v>
      </c>
    </row>
    <row r="8623" spans="1:9" x14ac:dyDescent="0.3">
      <c r="A8623" t="s">
        <v>10152</v>
      </c>
      <c r="B8623" t="s">
        <v>44</v>
      </c>
      <c r="C8623">
        <v>7648876604</v>
      </c>
      <c r="D8623" s="2">
        <v>1</v>
      </c>
      <c r="E8623" t="str">
        <f>"4574674200941953"</f>
        <v>4574674200941953</v>
      </c>
      <c r="F8623" t="str">
        <f>"911"</f>
        <v>911</v>
      </c>
      <c r="G8623">
        <v>1</v>
      </c>
      <c r="H8623">
        <v>2023</v>
      </c>
      <c r="I8623" t="s">
        <v>8738</v>
      </c>
    </row>
    <row r="8624" spans="1:9" x14ac:dyDescent="0.3">
      <c r="A8624" t="s">
        <v>10152</v>
      </c>
      <c r="B8624" t="s">
        <v>44</v>
      </c>
      <c r="C8624">
        <v>7648876604</v>
      </c>
      <c r="D8624" s="2">
        <v>1</v>
      </c>
      <c r="E8624" t="str">
        <f>"4574674200941987"</f>
        <v>4574674200941987</v>
      </c>
      <c r="F8624" t="str">
        <f>"644"</f>
        <v>644</v>
      </c>
      <c r="G8624">
        <v>1</v>
      </c>
      <c r="H8624">
        <v>2023</v>
      </c>
      <c r="I8624" t="s">
        <v>8739</v>
      </c>
    </row>
    <row r="8625" spans="1:9" x14ac:dyDescent="0.3">
      <c r="A8625" t="s">
        <v>10152</v>
      </c>
      <c r="B8625" t="s">
        <v>44</v>
      </c>
      <c r="C8625">
        <v>7648876604</v>
      </c>
      <c r="D8625" s="2">
        <v>1</v>
      </c>
      <c r="E8625" t="str">
        <f>"4574674200942027"</f>
        <v>4574674200942027</v>
      </c>
      <c r="F8625" t="str">
        <f>"667"</f>
        <v>667</v>
      </c>
      <c r="G8625">
        <v>1</v>
      </c>
      <c r="H8625">
        <v>2023</v>
      </c>
      <c r="I8625" t="s">
        <v>8740</v>
      </c>
    </row>
    <row r="8626" spans="1:9" x14ac:dyDescent="0.3">
      <c r="A8626" t="s">
        <v>10153</v>
      </c>
      <c r="B8626" t="s">
        <v>45</v>
      </c>
      <c r="C8626">
        <v>7648876604</v>
      </c>
      <c r="D8626" s="2">
        <v>1</v>
      </c>
      <c r="E8626" t="str">
        <f>"4574674200942092"</f>
        <v>4574674200942092</v>
      </c>
      <c r="F8626" t="str">
        <f>"332"</f>
        <v>332</v>
      </c>
      <c r="G8626">
        <v>1</v>
      </c>
      <c r="H8626">
        <v>2023</v>
      </c>
      <c r="I8626" t="s">
        <v>8741</v>
      </c>
    </row>
    <row r="8627" spans="1:9" x14ac:dyDescent="0.3">
      <c r="A8627" t="s">
        <v>10153</v>
      </c>
      <c r="B8627" t="s">
        <v>45</v>
      </c>
      <c r="C8627">
        <v>7648876604</v>
      </c>
      <c r="D8627" s="2">
        <v>1</v>
      </c>
      <c r="E8627" t="str">
        <f>"4574674200942100"</f>
        <v>4574674200942100</v>
      </c>
      <c r="F8627" t="str">
        <f>"725"</f>
        <v>725</v>
      </c>
      <c r="G8627">
        <v>1</v>
      </c>
      <c r="H8627">
        <v>2023</v>
      </c>
      <c r="I8627" t="s">
        <v>8742</v>
      </c>
    </row>
    <row r="8628" spans="1:9" x14ac:dyDescent="0.3">
      <c r="A8628" t="s">
        <v>10153</v>
      </c>
      <c r="B8628" t="s">
        <v>45</v>
      </c>
      <c r="C8628">
        <v>7648876604</v>
      </c>
      <c r="D8628" s="2">
        <v>1</v>
      </c>
      <c r="E8628" t="str">
        <f>"4574674200942118"</f>
        <v>4574674200942118</v>
      </c>
      <c r="F8628" t="str">
        <f>"473"</f>
        <v>473</v>
      </c>
      <c r="G8628">
        <v>1</v>
      </c>
      <c r="H8628">
        <v>2023</v>
      </c>
      <c r="I8628" t="s">
        <v>8743</v>
      </c>
    </row>
    <row r="8629" spans="1:9" x14ac:dyDescent="0.3">
      <c r="A8629" t="s">
        <v>10153</v>
      </c>
      <c r="B8629" t="s">
        <v>45</v>
      </c>
      <c r="C8629">
        <v>7648876604</v>
      </c>
      <c r="D8629" s="2">
        <v>1</v>
      </c>
      <c r="E8629" t="str">
        <f>"4574674200942225"</f>
        <v>4574674200942225</v>
      </c>
      <c r="F8629" t="str">
        <f>"161"</f>
        <v>161</v>
      </c>
      <c r="G8629">
        <v>1</v>
      </c>
      <c r="H8629">
        <v>2023</v>
      </c>
      <c r="I8629" t="s">
        <v>8744</v>
      </c>
    </row>
    <row r="8630" spans="1:9" x14ac:dyDescent="0.3">
      <c r="A8630" t="s">
        <v>10153</v>
      </c>
      <c r="B8630" t="s">
        <v>45</v>
      </c>
      <c r="C8630">
        <v>7648876604</v>
      </c>
      <c r="D8630" s="2">
        <v>1</v>
      </c>
      <c r="E8630" t="str">
        <f>"4574674200942142"</f>
        <v>4574674200942142</v>
      </c>
      <c r="F8630" t="str">
        <f>"895"</f>
        <v>895</v>
      </c>
      <c r="G8630">
        <v>1</v>
      </c>
      <c r="H8630">
        <v>2023</v>
      </c>
      <c r="I8630" t="s">
        <v>8745</v>
      </c>
    </row>
    <row r="8631" spans="1:9" x14ac:dyDescent="0.3">
      <c r="A8631" t="s">
        <v>10153</v>
      </c>
      <c r="B8631" t="s">
        <v>45</v>
      </c>
      <c r="C8631">
        <v>7648876604</v>
      </c>
      <c r="D8631" s="2">
        <v>1</v>
      </c>
      <c r="E8631" t="str">
        <f>"4574674200941300"</f>
        <v>4574674200941300</v>
      </c>
      <c r="F8631" t="str">
        <f>"222"</f>
        <v>222</v>
      </c>
      <c r="G8631">
        <v>1</v>
      </c>
      <c r="H8631">
        <v>2023</v>
      </c>
      <c r="I8631" t="s">
        <v>8746</v>
      </c>
    </row>
    <row r="8632" spans="1:9" x14ac:dyDescent="0.3">
      <c r="A8632" t="s">
        <v>10153</v>
      </c>
      <c r="B8632" t="s">
        <v>45</v>
      </c>
      <c r="C8632">
        <v>7648876604</v>
      </c>
      <c r="D8632" s="2">
        <v>1</v>
      </c>
      <c r="E8632" t="str">
        <f>"4574674200942258"</f>
        <v>4574674200942258</v>
      </c>
      <c r="F8632" t="str">
        <f>"490"</f>
        <v>490</v>
      </c>
      <c r="G8632">
        <v>1</v>
      </c>
      <c r="H8632">
        <v>2023</v>
      </c>
      <c r="I8632" t="s">
        <v>8747</v>
      </c>
    </row>
    <row r="8633" spans="1:9" x14ac:dyDescent="0.3">
      <c r="A8633" t="s">
        <v>10153</v>
      </c>
      <c r="B8633" t="s">
        <v>45</v>
      </c>
      <c r="C8633">
        <v>7648876604</v>
      </c>
      <c r="D8633" s="2">
        <v>1</v>
      </c>
      <c r="E8633" t="str">
        <f>"4574674200941326"</f>
        <v>4574674200941326</v>
      </c>
      <c r="F8633" t="str">
        <f>"166"</f>
        <v>166</v>
      </c>
      <c r="G8633">
        <v>1</v>
      </c>
      <c r="H8633">
        <v>2023</v>
      </c>
      <c r="I8633" t="s">
        <v>8748</v>
      </c>
    </row>
    <row r="8634" spans="1:9" x14ac:dyDescent="0.3">
      <c r="A8634" t="s">
        <v>10153</v>
      </c>
      <c r="B8634" t="s">
        <v>45</v>
      </c>
      <c r="C8634">
        <v>7648876604</v>
      </c>
      <c r="D8634" s="2">
        <v>1</v>
      </c>
      <c r="E8634" t="str">
        <f>"4574674200942274"</f>
        <v>4574674200942274</v>
      </c>
      <c r="F8634" t="str">
        <f>"809"</f>
        <v>809</v>
      </c>
      <c r="G8634">
        <v>1</v>
      </c>
      <c r="H8634">
        <v>2023</v>
      </c>
      <c r="I8634" t="s">
        <v>8749</v>
      </c>
    </row>
    <row r="8635" spans="1:9" x14ac:dyDescent="0.3">
      <c r="A8635" t="s">
        <v>10153</v>
      </c>
      <c r="B8635" t="s">
        <v>45</v>
      </c>
      <c r="C8635">
        <v>7648876604</v>
      </c>
      <c r="D8635" s="2">
        <v>1</v>
      </c>
      <c r="E8635" t="str">
        <f>"4574674200942290"</f>
        <v>4574674200942290</v>
      </c>
      <c r="F8635" t="str">
        <f>"330"</f>
        <v>330</v>
      </c>
      <c r="G8635">
        <v>1</v>
      </c>
      <c r="H8635">
        <v>2023</v>
      </c>
      <c r="I8635" t="s">
        <v>8750</v>
      </c>
    </row>
    <row r="8636" spans="1:9" x14ac:dyDescent="0.3">
      <c r="A8636" t="s">
        <v>10142</v>
      </c>
      <c r="B8636" t="s">
        <v>34</v>
      </c>
      <c r="C8636">
        <v>7648876604</v>
      </c>
      <c r="D8636" s="2">
        <v>1</v>
      </c>
      <c r="E8636" t="str">
        <f>"4574674200942324"</f>
        <v>4574674200942324</v>
      </c>
      <c r="F8636" t="str">
        <f>"981"</f>
        <v>981</v>
      </c>
      <c r="G8636">
        <v>1</v>
      </c>
      <c r="H8636">
        <v>2023</v>
      </c>
      <c r="I8636" t="s">
        <v>8751</v>
      </c>
    </row>
    <row r="8637" spans="1:9" x14ac:dyDescent="0.3">
      <c r="A8637" t="s">
        <v>10142</v>
      </c>
      <c r="B8637" t="s">
        <v>34</v>
      </c>
      <c r="C8637">
        <v>7648876604</v>
      </c>
      <c r="D8637" s="2">
        <v>1</v>
      </c>
      <c r="E8637" t="str">
        <f>"4574674200942399"</f>
        <v>4574674200942399</v>
      </c>
      <c r="F8637" t="str">
        <f>"358"</f>
        <v>358</v>
      </c>
      <c r="G8637">
        <v>1</v>
      </c>
      <c r="H8637">
        <v>2023</v>
      </c>
      <c r="I8637" t="s">
        <v>8752</v>
      </c>
    </row>
    <row r="8638" spans="1:9" x14ac:dyDescent="0.3">
      <c r="A8638" t="s">
        <v>10142</v>
      </c>
      <c r="B8638" t="s">
        <v>34</v>
      </c>
      <c r="C8638">
        <v>7648876604</v>
      </c>
      <c r="D8638" s="2">
        <v>1</v>
      </c>
      <c r="E8638" t="str">
        <f>"4574674200942407"</f>
        <v>4574674200942407</v>
      </c>
      <c r="F8638" t="str">
        <f>"918"</f>
        <v>918</v>
      </c>
      <c r="G8638">
        <v>1</v>
      </c>
      <c r="H8638">
        <v>2023</v>
      </c>
      <c r="I8638" t="s">
        <v>8753</v>
      </c>
    </row>
    <row r="8639" spans="1:9" x14ac:dyDescent="0.3">
      <c r="A8639" t="s">
        <v>10142</v>
      </c>
      <c r="B8639" t="s">
        <v>34</v>
      </c>
      <c r="C8639">
        <v>7648876604</v>
      </c>
      <c r="D8639" s="2">
        <v>1</v>
      </c>
      <c r="E8639" t="str">
        <f>"4574674200942449"</f>
        <v>4574674200942449</v>
      </c>
      <c r="F8639" t="str">
        <f>"238"</f>
        <v>238</v>
      </c>
      <c r="G8639">
        <v>1</v>
      </c>
      <c r="H8639">
        <v>2023</v>
      </c>
      <c r="I8639" t="s">
        <v>8754</v>
      </c>
    </row>
    <row r="8640" spans="1:9" x14ac:dyDescent="0.3">
      <c r="A8640" t="s">
        <v>10142</v>
      </c>
      <c r="B8640" t="s">
        <v>34</v>
      </c>
      <c r="C8640">
        <v>7648876604</v>
      </c>
      <c r="D8640" s="2">
        <v>1</v>
      </c>
      <c r="E8640" t="str">
        <f>"4574674200942464"</f>
        <v>4574674200942464</v>
      </c>
      <c r="F8640" t="str">
        <f>"989"</f>
        <v>989</v>
      </c>
      <c r="G8640">
        <v>1</v>
      </c>
      <c r="H8640">
        <v>2023</v>
      </c>
      <c r="I8640" t="s">
        <v>8755</v>
      </c>
    </row>
    <row r="8641" spans="1:9" x14ac:dyDescent="0.3">
      <c r="A8641" t="s">
        <v>10142</v>
      </c>
      <c r="B8641" t="s">
        <v>34</v>
      </c>
      <c r="C8641">
        <v>7648876604</v>
      </c>
      <c r="D8641" s="2">
        <v>1</v>
      </c>
      <c r="E8641" t="str">
        <f>"4574674200942514"</f>
        <v>4574674200942514</v>
      </c>
      <c r="F8641" t="str">
        <f>"446"</f>
        <v>446</v>
      </c>
      <c r="G8641">
        <v>1</v>
      </c>
      <c r="H8641">
        <v>2023</v>
      </c>
      <c r="I8641" t="s">
        <v>8756</v>
      </c>
    </row>
    <row r="8642" spans="1:9" x14ac:dyDescent="0.3">
      <c r="A8642" t="s">
        <v>10142</v>
      </c>
      <c r="B8642" t="s">
        <v>34</v>
      </c>
      <c r="C8642">
        <v>7648876604</v>
      </c>
      <c r="D8642" s="2">
        <v>1</v>
      </c>
      <c r="E8642" t="str">
        <f>"4574674200941334"</f>
        <v>4574674200941334</v>
      </c>
      <c r="F8642" t="str">
        <f>"828"</f>
        <v>828</v>
      </c>
      <c r="G8642">
        <v>1</v>
      </c>
      <c r="H8642">
        <v>2023</v>
      </c>
      <c r="I8642" t="s">
        <v>8757</v>
      </c>
    </row>
    <row r="8643" spans="1:9" x14ac:dyDescent="0.3">
      <c r="A8643" t="s">
        <v>10142</v>
      </c>
      <c r="B8643" t="s">
        <v>34</v>
      </c>
      <c r="C8643">
        <v>7648876604</v>
      </c>
      <c r="D8643" s="2">
        <v>1</v>
      </c>
      <c r="E8643" t="str">
        <f>"4574674200942571"</f>
        <v>4574674200942571</v>
      </c>
      <c r="F8643" t="str">
        <f>"575"</f>
        <v>575</v>
      </c>
      <c r="G8643">
        <v>1</v>
      </c>
      <c r="H8643">
        <v>2023</v>
      </c>
      <c r="I8643" t="s">
        <v>8758</v>
      </c>
    </row>
    <row r="8644" spans="1:9" x14ac:dyDescent="0.3">
      <c r="A8644" t="s">
        <v>10142</v>
      </c>
      <c r="B8644" t="s">
        <v>34</v>
      </c>
      <c r="C8644">
        <v>7648876604</v>
      </c>
      <c r="D8644" s="2">
        <v>1</v>
      </c>
      <c r="E8644" t="str">
        <f>"4574674200942563"</f>
        <v>4574674200942563</v>
      </c>
      <c r="F8644" t="str">
        <f>"615"</f>
        <v>615</v>
      </c>
      <c r="G8644">
        <v>1</v>
      </c>
      <c r="H8644">
        <v>2023</v>
      </c>
      <c r="I8644" t="s">
        <v>8759</v>
      </c>
    </row>
    <row r="8645" spans="1:9" x14ac:dyDescent="0.3">
      <c r="A8645" t="s">
        <v>10142</v>
      </c>
      <c r="B8645" t="s">
        <v>34</v>
      </c>
      <c r="C8645">
        <v>7648876604</v>
      </c>
      <c r="D8645" s="2">
        <v>1</v>
      </c>
      <c r="E8645" t="str">
        <f>"4574674200941367"</f>
        <v>4574674200941367</v>
      </c>
      <c r="F8645" t="str">
        <f>"766"</f>
        <v>766</v>
      </c>
      <c r="G8645">
        <v>1</v>
      </c>
      <c r="H8645">
        <v>2023</v>
      </c>
      <c r="I8645" t="s">
        <v>8760</v>
      </c>
    </row>
    <row r="8646" spans="1:9" x14ac:dyDescent="0.3">
      <c r="A8646" t="s">
        <v>10154</v>
      </c>
      <c r="B8646" t="s">
        <v>46</v>
      </c>
      <c r="C8646">
        <v>7648876604</v>
      </c>
      <c r="D8646" s="2">
        <v>1</v>
      </c>
      <c r="E8646" t="str">
        <f>"4574674200942605"</f>
        <v>4574674200942605</v>
      </c>
      <c r="F8646" t="str">
        <f>"577"</f>
        <v>577</v>
      </c>
      <c r="G8646">
        <v>1</v>
      </c>
      <c r="H8646">
        <v>2023</v>
      </c>
      <c r="I8646" t="s">
        <v>8761</v>
      </c>
    </row>
    <row r="8647" spans="1:9" x14ac:dyDescent="0.3">
      <c r="A8647" t="s">
        <v>10154</v>
      </c>
      <c r="B8647" t="s">
        <v>46</v>
      </c>
      <c r="C8647">
        <v>7648876604</v>
      </c>
      <c r="D8647" s="2">
        <v>1</v>
      </c>
      <c r="E8647" t="str">
        <f>"4574674200942621"</f>
        <v>4574674200942621</v>
      </c>
      <c r="F8647" t="str">
        <f>"325"</f>
        <v>325</v>
      </c>
      <c r="G8647">
        <v>1</v>
      </c>
      <c r="H8647">
        <v>2023</v>
      </c>
      <c r="I8647" t="s">
        <v>8762</v>
      </c>
    </row>
    <row r="8648" spans="1:9" x14ac:dyDescent="0.3">
      <c r="A8648" t="s">
        <v>10154</v>
      </c>
      <c r="B8648" t="s">
        <v>46</v>
      </c>
      <c r="C8648">
        <v>7648876604</v>
      </c>
      <c r="D8648" s="2">
        <v>1</v>
      </c>
      <c r="E8648" t="str">
        <f>"4574674200942688"</f>
        <v>4574674200942688</v>
      </c>
      <c r="F8648" t="str">
        <f>"043"</f>
        <v>043</v>
      </c>
      <c r="G8648">
        <v>1</v>
      </c>
      <c r="H8648">
        <v>2023</v>
      </c>
      <c r="I8648" t="s">
        <v>8763</v>
      </c>
    </row>
    <row r="8649" spans="1:9" x14ac:dyDescent="0.3">
      <c r="A8649" t="s">
        <v>10154</v>
      </c>
      <c r="B8649" t="s">
        <v>46</v>
      </c>
      <c r="C8649">
        <v>7648876604</v>
      </c>
      <c r="D8649" s="2">
        <v>1</v>
      </c>
      <c r="E8649" t="str">
        <f>"4574674200942753"</f>
        <v>4574674200942753</v>
      </c>
      <c r="F8649" t="str">
        <f>"129"</f>
        <v>129</v>
      </c>
      <c r="G8649">
        <v>1</v>
      </c>
      <c r="H8649">
        <v>2023</v>
      </c>
      <c r="I8649" t="s">
        <v>8764</v>
      </c>
    </row>
    <row r="8650" spans="1:9" x14ac:dyDescent="0.3">
      <c r="A8650" t="s">
        <v>10154</v>
      </c>
      <c r="B8650" t="s">
        <v>46</v>
      </c>
      <c r="C8650">
        <v>7648876604</v>
      </c>
      <c r="D8650" s="2">
        <v>1</v>
      </c>
      <c r="E8650" t="str">
        <f>"4574674200942811"</f>
        <v>4574674200942811</v>
      </c>
      <c r="F8650" t="str">
        <f>"800"</f>
        <v>800</v>
      </c>
      <c r="G8650">
        <v>1</v>
      </c>
      <c r="H8650">
        <v>2023</v>
      </c>
      <c r="I8650" t="s">
        <v>8765</v>
      </c>
    </row>
    <row r="8651" spans="1:9" x14ac:dyDescent="0.3">
      <c r="A8651" t="s">
        <v>10154</v>
      </c>
      <c r="B8651" t="s">
        <v>46</v>
      </c>
      <c r="C8651">
        <v>7648876604</v>
      </c>
      <c r="D8651" s="2">
        <v>1</v>
      </c>
      <c r="E8651" t="str">
        <f>"4574674200942829"</f>
        <v>4574674200942829</v>
      </c>
      <c r="F8651" t="str">
        <f>"320"</f>
        <v>320</v>
      </c>
      <c r="G8651">
        <v>1</v>
      </c>
      <c r="H8651">
        <v>2023</v>
      </c>
      <c r="I8651" t="s">
        <v>8766</v>
      </c>
    </row>
    <row r="8652" spans="1:9" x14ac:dyDescent="0.3">
      <c r="A8652" t="s">
        <v>10154</v>
      </c>
      <c r="B8652" t="s">
        <v>46</v>
      </c>
      <c r="C8652">
        <v>7648876604</v>
      </c>
      <c r="D8652" s="2">
        <v>1</v>
      </c>
      <c r="E8652" t="str">
        <f>"4574674200941375"</f>
        <v>4574674200941375</v>
      </c>
      <c r="F8652" t="str">
        <f>"167"</f>
        <v>167</v>
      </c>
      <c r="G8652">
        <v>1</v>
      </c>
      <c r="H8652">
        <v>2023</v>
      </c>
      <c r="I8652" t="s">
        <v>8767</v>
      </c>
    </row>
    <row r="8653" spans="1:9" x14ac:dyDescent="0.3">
      <c r="A8653" t="s">
        <v>10154</v>
      </c>
      <c r="B8653" t="s">
        <v>46</v>
      </c>
      <c r="C8653">
        <v>7648876604</v>
      </c>
      <c r="D8653" s="2">
        <v>1</v>
      </c>
      <c r="E8653" t="str">
        <f>"4574674200942928"</f>
        <v>4574674200942928</v>
      </c>
      <c r="F8653" t="str">
        <f>"112"</f>
        <v>112</v>
      </c>
      <c r="G8653">
        <v>1</v>
      </c>
      <c r="H8653">
        <v>2023</v>
      </c>
      <c r="I8653" t="s">
        <v>8768</v>
      </c>
    </row>
    <row r="8654" spans="1:9" x14ac:dyDescent="0.3">
      <c r="A8654" t="s">
        <v>10154</v>
      </c>
      <c r="B8654" t="s">
        <v>46</v>
      </c>
      <c r="C8654">
        <v>7648876604</v>
      </c>
      <c r="D8654" s="2">
        <v>1</v>
      </c>
      <c r="E8654" t="str">
        <f>"4574674200942951"</f>
        <v>4574674200942951</v>
      </c>
      <c r="F8654" t="str">
        <f>"848"</f>
        <v>848</v>
      </c>
      <c r="G8654">
        <v>1</v>
      </c>
      <c r="H8654">
        <v>2023</v>
      </c>
      <c r="I8654" t="s">
        <v>8769</v>
      </c>
    </row>
    <row r="8655" spans="1:9" x14ac:dyDescent="0.3">
      <c r="A8655" t="s">
        <v>10154</v>
      </c>
      <c r="B8655" t="s">
        <v>46</v>
      </c>
      <c r="C8655">
        <v>7648876604</v>
      </c>
      <c r="D8655" s="2">
        <v>1</v>
      </c>
      <c r="E8655" t="str">
        <f>"4574674200943017"</f>
        <v>4574674200943017</v>
      </c>
      <c r="F8655" t="str">
        <f>"113"</f>
        <v>113</v>
      </c>
      <c r="G8655">
        <v>1</v>
      </c>
      <c r="H8655">
        <v>2023</v>
      </c>
      <c r="I8655" t="s">
        <v>8770</v>
      </c>
    </row>
    <row r="8656" spans="1:9" x14ac:dyDescent="0.3">
      <c r="A8656" t="s">
        <v>10155</v>
      </c>
      <c r="B8656" t="s">
        <v>47</v>
      </c>
      <c r="C8656">
        <v>7648876604</v>
      </c>
      <c r="D8656" s="2">
        <v>1</v>
      </c>
      <c r="E8656" t="str">
        <f>"4574674200943025"</f>
        <v>4574674200943025</v>
      </c>
      <c r="F8656" t="str">
        <f>"494"</f>
        <v>494</v>
      </c>
      <c r="G8656">
        <v>1</v>
      </c>
      <c r="H8656">
        <v>2023</v>
      </c>
      <c r="I8656" t="s">
        <v>8771</v>
      </c>
    </row>
    <row r="8657" spans="1:9" x14ac:dyDescent="0.3">
      <c r="A8657" t="s">
        <v>10155</v>
      </c>
      <c r="B8657" t="s">
        <v>47</v>
      </c>
      <c r="C8657">
        <v>7648876604</v>
      </c>
      <c r="D8657" s="2">
        <v>1</v>
      </c>
      <c r="E8657" t="str">
        <f>"4574674200943207"</f>
        <v>4574674200943207</v>
      </c>
      <c r="F8657" t="str">
        <f>"827"</f>
        <v>827</v>
      </c>
      <c r="G8657">
        <v>1</v>
      </c>
      <c r="H8657">
        <v>2023</v>
      </c>
      <c r="I8657" t="s">
        <v>8772</v>
      </c>
    </row>
    <row r="8658" spans="1:9" x14ac:dyDescent="0.3">
      <c r="A8658" t="s">
        <v>10155</v>
      </c>
      <c r="B8658" t="s">
        <v>47</v>
      </c>
      <c r="C8658">
        <v>7648876604</v>
      </c>
      <c r="D8658" s="2">
        <v>1</v>
      </c>
      <c r="E8658" t="str">
        <f>"4574674200943124"</f>
        <v>4574674200943124</v>
      </c>
      <c r="F8658" t="str">
        <f>"647"</f>
        <v>647</v>
      </c>
      <c r="G8658">
        <v>1</v>
      </c>
      <c r="H8658">
        <v>2023</v>
      </c>
      <c r="I8658" t="s">
        <v>8773</v>
      </c>
    </row>
    <row r="8659" spans="1:9" x14ac:dyDescent="0.3">
      <c r="A8659" t="s">
        <v>10155</v>
      </c>
      <c r="B8659" t="s">
        <v>47</v>
      </c>
      <c r="C8659">
        <v>7648876604</v>
      </c>
      <c r="D8659" s="2">
        <v>1</v>
      </c>
      <c r="E8659" t="str">
        <f>"4574674200943140"</f>
        <v>4574674200943140</v>
      </c>
      <c r="F8659" t="str">
        <f>"808"</f>
        <v>808</v>
      </c>
      <c r="G8659">
        <v>1</v>
      </c>
      <c r="H8659">
        <v>2023</v>
      </c>
      <c r="I8659" t="s">
        <v>8774</v>
      </c>
    </row>
    <row r="8660" spans="1:9" x14ac:dyDescent="0.3">
      <c r="A8660" t="s">
        <v>10155</v>
      </c>
      <c r="B8660" t="s">
        <v>47</v>
      </c>
      <c r="C8660">
        <v>7648876604</v>
      </c>
      <c r="D8660" s="2">
        <v>1</v>
      </c>
      <c r="E8660" t="str">
        <f>"4574674200943116"</f>
        <v>4574674200943116</v>
      </c>
      <c r="F8660" t="str">
        <f>"229"</f>
        <v>229</v>
      </c>
      <c r="G8660">
        <v>1</v>
      </c>
      <c r="H8660">
        <v>2023</v>
      </c>
      <c r="I8660" t="s">
        <v>8775</v>
      </c>
    </row>
    <row r="8661" spans="1:9" x14ac:dyDescent="0.3">
      <c r="A8661" t="s">
        <v>10155</v>
      </c>
      <c r="B8661" t="s">
        <v>47</v>
      </c>
      <c r="C8661">
        <v>7648876604</v>
      </c>
      <c r="D8661" s="2">
        <v>1</v>
      </c>
      <c r="E8661" t="str">
        <f>"4574674200943132"</f>
        <v>4574674200943132</v>
      </c>
      <c r="F8661" t="str">
        <f>"408"</f>
        <v>408</v>
      </c>
      <c r="G8661">
        <v>1</v>
      </c>
      <c r="H8661">
        <v>2023</v>
      </c>
      <c r="I8661" t="s">
        <v>8776</v>
      </c>
    </row>
    <row r="8662" spans="1:9" x14ac:dyDescent="0.3">
      <c r="A8662" t="s">
        <v>10155</v>
      </c>
      <c r="B8662" t="s">
        <v>47</v>
      </c>
      <c r="C8662">
        <v>7648876604</v>
      </c>
      <c r="D8662" s="2">
        <v>1</v>
      </c>
      <c r="E8662" t="str">
        <f>"4574674200943421"</f>
        <v>4574674200943421</v>
      </c>
      <c r="F8662" t="str">
        <f>"900"</f>
        <v>900</v>
      </c>
      <c r="G8662">
        <v>1</v>
      </c>
      <c r="H8662">
        <v>2023</v>
      </c>
      <c r="I8662" t="s">
        <v>8777</v>
      </c>
    </row>
    <row r="8663" spans="1:9" x14ac:dyDescent="0.3">
      <c r="A8663" t="s">
        <v>10155</v>
      </c>
      <c r="B8663" t="s">
        <v>47</v>
      </c>
      <c r="C8663">
        <v>7648876604</v>
      </c>
      <c r="D8663" s="2">
        <v>1</v>
      </c>
      <c r="E8663" t="str">
        <f>"4574674200943215"</f>
        <v>4574674200943215</v>
      </c>
      <c r="F8663" t="str">
        <f>"390"</f>
        <v>390</v>
      </c>
      <c r="G8663">
        <v>1</v>
      </c>
      <c r="H8663">
        <v>2023</v>
      </c>
      <c r="I8663" t="s">
        <v>8778</v>
      </c>
    </row>
    <row r="8664" spans="1:9" x14ac:dyDescent="0.3">
      <c r="A8664" t="s">
        <v>10155</v>
      </c>
      <c r="B8664" t="s">
        <v>47</v>
      </c>
      <c r="C8664">
        <v>7648876604</v>
      </c>
      <c r="D8664" s="2">
        <v>1</v>
      </c>
      <c r="E8664" t="str">
        <f>"4574674200943470"</f>
        <v>4574674200943470</v>
      </c>
      <c r="F8664" t="str">
        <f>"714"</f>
        <v>714</v>
      </c>
      <c r="G8664">
        <v>1</v>
      </c>
      <c r="H8664">
        <v>2023</v>
      </c>
      <c r="I8664" t="s">
        <v>8779</v>
      </c>
    </row>
    <row r="8665" spans="1:9" x14ac:dyDescent="0.3">
      <c r="A8665" t="s">
        <v>10155</v>
      </c>
      <c r="B8665" t="s">
        <v>47</v>
      </c>
      <c r="C8665">
        <v>7648876604</v>
      </c>
      <c r="D8665" s="2">
        <v>1</v>
      </c>
      <c r="E8665" t="str">
        <f>"4574674200943512"</f>
        <v>4574674200943512</v>
      </c>
      <c r="F8665" t="str">
        <f>"191"</f>
        <v>191</v>
      </c>
      <c r="G8665">
        <v>1</v>
      </c>
      <c r="H8665">
        <v>2023</v>
      </c>
      <c r="I8665" t="s">
        <v>8780</v>
      </c>
    </row>
    <row r="8666" spans="1:9" x14ac:dyDescent="0.3">
      <c r="A8666" t="s">
        <v>10156</v>
      </c>
      <c r="B8666" t="s">
        <v>48</v>
      </c>
      <c r="C8666">
        <v>7648876604</v>
      </c>
      <c r="D8666" s="2">
        <v>1</v>
      </c>
      <c r="E8666" t="str">
        <f>"4574674200943488"</f>
        <v>4574674200943488</v>
      </c>
      <c r="F8666" t="str">
        <f>"181"</f>
        <v>181</v>
      </c>
      <c r="G8666">
        <v>1</v>
      </c>
      <c r="H8666">
        <v>2023</v>
      </c>
      <c r="I8666" t="s">
        <v>8781</v>
      </c>
    </row>
    <row r="8667" spans="1:9" x14ac:dyDescent="0.3">
      <c r="A8667" t="s">
        <v>10156</v>
      </c>
      <c r="B8667" t="s">
        <v>48</v>
      </c>
      <c r="C8667">
        <v>7648876604</v>
      </c>
      <c r="D8667" s="2">
        <v>1</v>
      </c>
      <c r="E8667" t="str">
        <f>"4574674200943520"</f>
        <v>4574674200943520</v>
      </c>
      <c r="F8667" t="str">
        <f>"268"</f>
        <v>268</v>
      </c>
      <c r="G8667">
        <v>1</v>
      </c>
      <c r="H8667">
        <v>2023</v>
      </c>
      <c r="I8667" t="s">
        <v>8782</v>
      </c>
    </row>
    <row r="8668" spans="1:9" x14ac:dyDescent="0.3">
      <c r="A8668" t="s">
        <v>10156</v>
      </c>
      <c r="B8668" t="s">
        <v>48</v>
      </c>
      <c r="C8668">
        <v>7648876604</v>
      </c>
      <c r="D8668" s="2">
        <v>1</v>
      </c>
      <c r="E8668" t="str">
        <f>"4574674200943249"</f>
        <v>4574674200943249</v>
      </c>
      <c r="F8668" t="str">
        <f>"497"</f>
        <v>497</v>
      </c>
      <c r="G8668">
        <v>1</v>
      </c>
      <c r="H8668">
        <v>2023</v>
      </c>
      <c r="I8668" t="s">
        <v>8783</v>
      </c>
    </row>
    <row r="8669" spans="1:9" x14ac:dyDescent="0.3">
      <c r="A8669" t="s">
        <v>10156</v>
      </c>
      <c r="B8669" t="s">
        <v>48</v>
      </c>
      <c r="C8669">
        <v>7648876604</v>
      </c>
      <c r="D8669" s="2">
        <v>1</v>
      </c>
      <c r="E8669" t="str">
        <f>"4574674200943603"</f>
        <v>4574674200943603</v>
      </c>
      <c r="F8669" t="str">
        <f>"472"</f>
        <v>472</v>
      </c>
      <c r="G8669">
        <v>1</v>
      </c>
      <c r="H8669">
        <v>2023</v>
      </c>
      <c r="I8669" t="s">
        <v>8784</v>
      </c>
    </row>
    <row r="8670" spans="1:9" x14ac:dyDescent="0.3">
      <c r="A8670" t="s">
        <v>10156</v>
      </c>
      <c r="B8670" t="s">
        <v>48</v>
      </c>
      <c r="C8670">
        <v>7648876604</v>
      </c>
      <c r="D8670" s="2">
        <v>1</v>
      </c>
      <c r="E8670" t="str">
        <f>"4574674200943629"</f>
        <v>4574674200943629</v>
      </c>
      <c r="F8670" t="str">
        <f>"317"</f>
        <v>317</v>
      </c>
      <c r="G8670">
        <v>1</v>
      </c>
      <c r="H8670">
        <v>2023</v>
      </c>
      <c r="I8670" t="s">
        <v>8785</v>
      </c>
    </row>
    <row r="8671" spans="1:9" x14ac:dyDescent="0.3">
      <c r="A8671" t="s">
        <v>10156</v>
      </c>
      <c r="B8671" t="s">
        <v>48</v>
      </c>
      <c r="C8671">
        <v>7648876604</v>
      </c>
      <c r="D8671" s="2">
        <v>1</v>
      </c>
      <c r="E8671" t="str">
        <f>"4574674200943652"</f>
        <v>4574674200943652</v>
      </c>
      <c r="F8671" t="str">
        <f>"192"</f>
        <v>192</v>
      </c>
      <c r="G8671">
        <v>1</v>
      </c>
      <c r="H8671">
        <v>2023</v>
      </c>
      <c r="I8671" t="s">
        <v>8786</v>
      </c>
    </row>
    <row r="8672" spans="1:9" x14ac:dyDescent="0.3">
      <c r="A8672" t="s">
        <v>10156</v>
      </c>
      <c r="B8672" t="s">
        <v>48</v>
      </c>
      <c r="C8672">
        <v>7648876604</v>
      </c>
      <c r="D8672" s="2">
        <v>1</v>
      </c>
      <c r="E8672" t="str">
        <f>"4574674200943678"</f>
        <v>4574674200943678</v>
      </c>
      <c r="F8672" t="str">
        <f>"901"</f>
        <v>901</v>
      </c>
      <c r="G8672">
        <v>1</v>
      </c>
      <c r="H8672">
        <v>2023</v>
      </c>
      <c r="I8672" t="s">
        <v>8787</v>
      </c>
    </row>
    <row r="8673" spans="1:9" x14ac:dyDescent="0.3">
      <c r="A8673" t="s">
        <v>10156</v>
      </c>
      <c r="B8673" t="s">
        <v>48</v>
      </c>
      <c r="C8673">
        <v>7648876604</v>
      </c>
      <c r="D8673" s="2">
        <v>1</v>
      </c>
      <c r="E8673" t="str">
        <f>"4574674200943694"</f>
        <v>4574674200943694</v>
      </c>
      <c r="F8673" t="str">
        <f>"105"</f>
        <v>105</v>
      </c>
      <c r="G8673">
        <v>1</v>
      </c>
      <c r="H8673">
        <v>2023</v>
      </c>
      <c r="I8673" t="s">
        <v>8788</v>
      </c>
    </row>
    <row r="8674" spans="1:9" x14ac:dyDescent="0.3">
      <c r="A8674" t="s">
        <v>10156</v>
      </c>
      <c r="B8674" t="s">
        <v>48</v>
      </c>
      <c r="C8674">
        <v>7648876604</v>
      </c>
      <c r="D8674" s="2">
        <v>1</v>
      </c>
      <c r="E8674" t="str">
        <f>"4574674200943710"</f>
        <v>4574674200943710</v>
      </c>
      <c r="F8674" t="str">
        <f>"998"</f>
        <v>998</v>
      </c>
      <c r="G8674">
        <v>1</v>
      </c>
      <c r="H8674">
        <v>2023</v>
      </c>
      <c r="I8674" t="s">
        <v>8789</v>
      </c>
    </row>
    <row r="8675" spans="1:9" x14ac:dyDescent="0.3">
      <c r="A8675" t="s">
        <v>10156</v>
      </c>
      <c r="B8675" t="s">
        <v>48</v>
      </c>
      <c r="C8675">
        <v>7648876604</v>
      </c>
      <c r="D8675" s="2">
        <v>1</v>
      </c>
      <c r="E8675" t="str">
        <f>"4574674200943819"</f>
        <v>4574674200943819</v>
      </c>
      <c r="F8675" t="str">
        <f>"845"</f>
        <v>845</v>
      </c>
      <c r="G8675">
        <v>1</v>
      </c>
      <c r="H8675">
        <v>2023</v>
      </c>
      <c r="I8675" t="s">
        <v>8790</v>
      </c>
    </row>
    <row r="8676" spans="1:9" x14ac:dyDescent="0.3">
      <c r="A8676" t="s">
        <v>10139</v>
      </c>
      <c r="B8676" t="s">
        <v>31</v>
      </c>
      <c r="C8676">
        <v>7648876604</v>
      </c>
      <c r="D8676" s="2">
        <v>1</v>
      </c>
      <c r="E8676" t="str">
        <f>"4574674200943827"</f>
        <v>4574674200943827</v>
      </c>
      <c r="F8676" t="str">
        <f>"966"</f>
        <v>966</v>
      </c>
      <c r="G8676">
        <v>1</v>
      </c>
      <c r="H8676">
        <v>2023</v>
      </c>
      <c r="I8676" t="s">
        <v>8791</v>
      </c>
    </row>
    <row r="8677" spans="1:9" x14ac:dyDescent="0.3">
      <c r="A8677" t="s">
        <v>10139</v>
      </c>
      <c r="B8677" t="s">
        <v>31</v>
      </c>
      <c r="C8677">
        <v>7648876604</v>
      </c>
      <c r="D8677" s="2">
        <v>1</v>
      </c>
      <c r="E8677" t="str">
        <f>"4574674200943256"</f>
        <v>4574674200943256</v>
      </c>
      <c r="F8677" t="str">
        <f>"099"</f>
        <v>099</v>
      </c>
      <c r="G8677">
        <v>1</v>
      </c>
      <c r="H8677">
        <v>2023</v>
      </c>
      <c r="I8677" t="s">
        <v>8792</v>
      </c>
    </row>
    <row r="8678" spans="1:9" x14ac:dyDescent="0.3">
      <c r="A8678" t="s">
        <v>10139</v>
      </c>
      <c r="B8678" t="s">
        <v>31</v>
      </c>
      <c r="C8678">
        <v>7648876604</v>
      </c>
      <c r="D8678" s="2">
        <v>1</v>
      </c>
      <c r="E8678" t="str">
        <f>"4574674200943843"</f>
        <v>4574674200943843</v>
      </c>
      <c r="F8678" t="str">
        <f>"966"</f>
        <v>966</v>
      </c>
      <c r="G8678">
        <v>1</v>
      </c>
      <c r="H8678">
        <v>2023</v>
      </c>
      <c r="I8678" t="s">
        <v>8793</v>
      </c>
    </row>
    <row r="8679" spans="1:9" x14ac:dyDescent="0.3">
      <c r="A8679" t="s">
        <v>10139</v>
      </c>
      <c r="B8679" t="s">
        <v>31</v>
      </c>
      <c r="C8679">
        <v>7648876604</v>
      </c>
      <c r="D8679" s="2">
        <v>1</v>
      </c>
      <c r="E8679" t="str">
        <f>"4574674200943868"</f>
        <v>4574674200943868</v>
      </c>
      <c r="F8679" t="str">
        <f>"922"</f>
        <v>922</v>
      </c>
      <c r="G8679">
        <v>1</v>
      </c>
      <c r="H8679">
        <v>2023</v>
      </c>
      <c r="I8679" t="s">
        <v>8794</v>
      </c>
    </row>
    <row r="8680" spans="1:9" x14ac:dyDescent="0.3">
      <c r="A8680" t="s">
        <v>10139</v>
      </c>
      <c r="B8680" t="s">
        <v>31</v>
      </c>
      <c r="C8680">
        <v>7648876604</v>
      </c>
      <c r="D8680" s="2">
        <v>1</v>
      </c>
      <c r="E8680" t="str">
        <f>"4574674200943892"</f>
        <v>4574674200943892</v>
      </c>
      <c r="F8680" t="str">
        <f>"282"</f>
        <v>282</v>
      </c>
      <c r="G8680">
        <v>1</v>
      </c>
      <c r="H8680">
        <v>2023</v>
      </c>
      <c r="I8680" t="s">
        <v>8795</v>
      </c>
    </row>
    <row r="8681" spans="1:9" x14ac:dyDescent="0.3">
      <c r="A8681" t="s">
        <v>10139</v>
      </c>
      <c r="B8681" t="s">
        <v>31</v>
      </c>
      <c r="C8681">
        <v>7648876604</v>
      </c>
      <c r="D8681" s="2">
        <v>1</v>
      </c>
      <c r="E8681" t="str">
        <f>"4574674200943280"</f>
        <v>4574674200943280</v>
      </c>
      <c r="F8681" t="str">
        <f>"120"</f>
        <v>120</v>
      </c>
      <c r="G8681">
        <v>1</v>
      </c>
      <c r="H8681">
        <v>2023</v>
      </c>
      <c r="I8681" t="s">
        <v>8796</v>
      </c>
    </row>
    <row r="8682" spans="1:9" x14ac:dyDescent="0.3">
      <c r="A8682" t="s">
        <v>10139</v>
      </c>
      <c r="B8682" t="s">
        <v>31</v>
      </c>
      <c r="C8682">
        <v>7648876604</v>
      </c>
      <c r="D8682" s="2">
        <v>1</v>
      </c>
      <c r="E8682" t="str">
        <f>"4574674200943959"</f>
        <v>4574674200943959</v>
      </c>
      <c r="F8682" t="str">
        <f>"959"</f>
        <v>959</v>
      </c>
      <c r="G8682">
        <v>1</v>
      </c>
      <c r="H8682">
        <v>2023</v>
      </c>
      <c r="I8682" t="s">
        <v>8797</v>
      </c>
    </row>
    <row r="8683" spans="1:9" x14ac:dyDescent="0.3">
      <c r="A8683" t="s">
        <v>10139</v>
      </c>
      <c r="B8683" t="s">
        <v>31</v>
      </c>
      <c r="C8683">
        <v>7648876604</v>
      </c>
      <c r="D8683" s="2">
        <v>1</v>
      </c>
      <c r="E8683" t="str">
        <f>"4574674200943975"</f>
        <v>4574674200943975</v>
      </c>
      <c r="F8683" t="str">
        <f>"068"</f>
        <v>068</v>
      </c>
      <c r="G8683">
        <v>1</v>
      </c>
      <c r="H8683">
        <v>2023</v>
      </c>
      <c r="I8683" t="s">
        <v>8798</v>
      </c>
    </row>
    <row r="8684" spans="1:9" x14ac:dyDescent="0.3">
      <c r="A8684" t="s">
        <v>10139</v>
      </c>
      <c r="B8684" t="s">
        <v>31</v>
      </c>
      <c r="C8684">
        <v>7648876604</v>
      </c>
      <c r="D8684" s="2">
        <v>1</v>
      </c>
      <c r="E8684" t="str">
        <f>"4574674200944015"</f>
        <v>4574674200944015</v>
      </c>
      <c r="F8684" t="str">
        <f>"416"</f>
        <v>416</v>
      </c>
      <c r="G8684">
        <v>1</v>
      </c>
      <c r="H8684">
        <v>2023</v>
      </c>
      <c r="I8684" t="s">
        <v>8799</v>
      </c>
    </row>
    <row r="8685" spans="1:9" x14ac:dyDescent="0.3">
      <c r="A8685" t="s">
        <v>10139</v>
      </c>
      <c r="B8685" t="s">
        <v>31</v>
      </c>
      <c r="C8685">
        <v>7648876604</v>
      </c>
      <c r="D8685" s="2">
        <v>1</v>
      </c>
      <c r="E8685" t="str">
        <f>"4574674200944031"</f>
        <v>4574674200944031</v>
      </c>
      <c r="F8685" t="str">
        <f>"584"</f>
        <v>584</v>
      </c>
      <c r="G8685">
        <v>1</v>
      </c>
      <c r="H8685">
        <v>2023</v>
      </c>
      <c r="I8685" t="s">
        <v>8800</v>
      </c>
    </row>
    <row r="8686" spans="1:9" x14ac:dyDescent="0.3">
      <c r="A8686" t="s">
        <v>10138</v>
      </c>
      <c r="B8686" t="s">
        <v>30</v>
      </c>
      <c r="C8686">
        <v>7648876604</v>
      </c>
      <c r="D8686" s="2">
        <v>1</v>
      </c>
      <c r="E8686" t="str">
        <f>"4574674200944049"</f>
        <v>4574674200944049</v>
      </c>
      <c r="F8686" t="str">
        <f>"663"</f>
        <v>663</v>
      </c>
      <c r="G8686">
        <v>1</v>
      </c>
      <c r="H8686">
        <v>2023</v>
      </c>
      <c r="I8686" t="s">
        <v>8801</v>
      </c>
    </row>
    <row r="8687" spans="1:9" x14ac:dyDescent="0.3">
      <c r="A8687" t="s">
        <v>10138</v>
      </c>
      <c r="B8687" t="s">
        <v>30</v>
      </c>
      <c r="C8687">
        <v>7648876604</v>
      </c>
      <c r="D8687" s="2">
        <v>1</v>
      </c>
      <c r="E8687" t="str">
        <f>"4574674200944072"</f>
        <v>4574674200944072</v>
      </c>
      <c r="F8687" t="str">
        <f>"418"</f>
        <v>418</v>
      </c>
      <c r="G8687">
        <v>1</v>
      </c>
      <c r="H8687">
        <v>2023</v>
      </c>
      <c r="I8687" t="s">
        <v>8802</v>
      </c>
    </row>
    <row r="8688" spans="1:9" x14ac:dyDescent="0.3">
      <c r="A8688" t="s">
        <v>10138</v>
      </c>
      <c r="B8688" t="s">
        <v>30</v>
      </c>
      <c r="C8688">
        <v>7648876604</v>
      </c>
      <c r="D8688" s="2">
        <v>1</v>
      </c>
      <c r="E8688" t="str">
        <f>"4574674200944130"</f>
        <v>4574674200944130</v>
      </c>
      <c r="F8688" t="str">
        <f>"297"</f>
        <v>297</v>
      </c>
      <c r="G8688">
        <v>1</v>
      </c>
      <c r="H8688">
        <v>2023</v>
      </c>
      <c r="I8688" t="s">
        <v>8803</v>
      </c>
    </row>
    <row r="8689" spans="1:9" x14ac:dyDescent="0.3">
      <c r="A8689" t="s">
        <v>10138</v>
      </c>
      <c r="B8689" t="s">
        <v>30</v>
      </c>
      <c r="C8689">
        <v>7648876604</v>
      </c>
      <c r="D8689" s="2">
        <v>1</v>
      </c>
      <c r="E8689" t="str">
        <f>"4574674200944171"</f>
        <v>4574674200944171</v>
      </c>
      <c r="F8689" t="str">
        <f>"336"</f>
        <v>336</v>
      </c>
      <c r="G8689">
        <v>1</v>
      </c>
      <c r="H8689">
        <v>2023</v>
      </c>
      <c r="I8689" t="s">
        <v>8804</v>
      </c>
    </row>
    <row r="8690" spans="1:9" x14ac:dyDescent="0.3">
      <c r="A8690" t="s">
        <v>10138</v>
      </c>
      <c r="B8690" t="s">
        <v>30</v>
      </c>
      <c r="C8690">
        <v>7648876604</v>
      </c>
      <c r="D8690" s="2">
        <v>1</v>
      </c>
      <c r="E8690" t="str">
        <f>"4574674200943298"</f>
        <v>4574674200943298</v>
      </c>
      <c r="F8690" t="str">
        <f>"488"</f>
        <v>488</v>
      </c>
      <c r="G8690">
        <v>1</v>
      </c>
      <c r="H8690">
        <v>2023</v>
      </c>
      <c r="I8690" t="s">
        <v>8805</v>
      </c>
    </row>
    <row r="8691" spans="1:9" x14ac:dyDescent="0.3">
      <c r="A8691" t="s">
        <v>10138</v>
      </c>
      <c r="B8691" t="s">
        <v>30</v>
      </c>
      <c r="C8691">
        <v>7648876604</v>
      </c>
      <c r="D8691" s="2">
        <v>1</v>
      </c>
      <c r="E8691" t="str">
        <f>"4574674200944213"</f>
        <v>4574674200944213</v>
      </c>
      <c r="F8691" t="str">
        <f>"477"</f>
        <v>477</v>
      </c>
      <c r="G8691">
        <v>1</v>
      </c>
      <c r="H8691">
        <v>2023</v>
      </c>
      <c r="I8691" t="s">
        <v>8806</v>
      </c>
    </row>
    <row r="8692" spans="1:9" x14ac:dyDescent="0.3">
      <c r="A8692" t="s">
        <v>10138</v>
      </c>
      <c r="B8692" t="s">
        <v>30</v>
      </c>
      <c r="C8692">
        <v>7648876604</v>
      </c>
      <c r="D8692" s="2">
        <v>1</v>
      </c>
      <c r="E8692" t="str">
        <f>"4574674200944221"</f>
        <v>4574674200944221</v>
      </c>
      <c r="F8692" t="str">
        <f>"927"</f>
        <v>927</v>
      </c>
      <c r="G8692">
        <v>1</v>
      </c>
      <c r="H8692">
        <v>2023</v>
      </c>
      <c r="I8692" t="s">
        <v>8807</v>
      </c>
    </row>
    <row r="8693" spans="1:9" x14ac:dyDescent="0.3">
      <c r="A8693" t="s">
        <v>10138</v>
      </c>
      <c r="B8693" t="s">
        <v>30</v>
      </c>
      <c r="C8693">
        <v>7648876604</v>
      </c>
      <c r="D8693" s="2">
        <v>1</v>
      </c>
      <c r="E8693" t="str">
        <f>"4574674200943322"</f>
        <v>4574674200943322</v>
      </c>
      <c r="F8693" t="str">
        <f>"528"</f>
        <v>528</v>
      </c>
      <c r="G8693">
        <v>1</v>
      </c>
      <c r="H8693">
        <v>2023</v>
      </c>
      <c r="I8693" t="s">
        <v>8808</v>
      </c>
    </row>
    <row r="8694" spans="1:9" x14ac:dyDescent="0.3">
      <c r="A8694" t="s">
        <v>10138</v>
      </c>
      <c r="B8694" t="s">
        <v>30</v>
      </c>
      <c r="C8694">
        <v>7648876604</v>
      </c>
      <c r="D8694" s="2">
        <v>1</v>
      </c>
      <c r="E8694" t="str">
        <f>"4574674200944254"</f>
        <v>4574674200944254</v>
      </c>
      <c r="F8694" t="str">
        <f>"741"</f>
        <v>741</v>
      </c>
      <c r="G8694">
        <v>1</v>
      </c>
      <c r="H8694">
        <v>2023</v>
      </c>
      <c r="I8694" t="s">
        <v>8809</v>
      </c>
    </row>
    <row r="8695" spans="1:9" x14ac:dyDescent="0.3">
      <c r="A8695" t="s">
        <v>10138</v>
      </c>
      <c r="B8695" t="s">
        <v>30</v>
      </c>
      <c r="C8695">
        <v>7648876604</v>
      </c>
      <c r="D8695" s="2">
        <v>1</v>
      </c>
      <c r="E8695" t="str">
        <f>"4574674200944296"</f>
        <v>4574674200944296</v>
      </c>
      <c r="F8695" t="str">
        <f>"035"</f>
        <v>035</v>
      </c>
      <c r="G8695">
        <v>1</v>
      </c>
      <c r="H8695">
        <v>2023</v>
      </c>
      <c r="I8695" t="s">
        <v>8810</v>
      </c>
    </row>
    <row r="8696" spans="1:9" x14ac:dyDescent="0.3">
      <c r="A8696" t="s">
        <v>10157</v>
      </c>
      <c r="B8696" t="s">
        <v>49</v>
      </c>
      <c r="C8696">
        <v>7648876604</v>
      </c>
      <c r="D8696" s="2">
        <v>1</v>
      </c>
      <c r="E8696" t="str">
        <f>"4574674200944320"</f>
        <v>4574674200944320</v>
      </c>
      <c r="F8696" t="str">
        <f>"193"</f>
        <v>193</v>
      </c>
      <c r="G8696">
        <v>1</v>
      </c>
      <c r="H8696">
        <v>2023</v>
      </c>
      <c r="I8696" t="s">
        <v>8811</v>
      </c>
    </row>
    <row r="8697" spans="1:9" x14ac:dyDescent="0.3">
      <c r="A8697" t="s">
        <v>10157</v>
      </c>
      <c r="B8697" t="s">
        <v>49</v>
      </c>
      <c r="C8697">
        <v>7648876604</v>
      </c>
      <c r="D8697" s="2">
        <v>1</v>
      </c>
      <c r="E8697" t="str">
        <f>"4574674200944387"</f>
        <v>4574674200944387</v>
      </c>
      <c r="F8697" t="str">
        <f>"558"</f>
        <v>558</v>
      </c>
      <c r="G8697">
        <v>1</v>
      </c>
      <c r="H8697">
        <v>2023</v>
      </c>
      <c r="I8697" t="s">
        <v>8812</v>
      </c>
    </row>
    <row r="8698" spans="1:9" x14ac:dyDescent="0.3">
      <c r="A8698" t="s">
        <v>10157</v>
      </c>
      <c r="B8698" t="s">
        <v>49</v>
      </c>
      <c r="C8698">
        <v>7648876604</v>
      </c>
      <c r="D8698" s="2">
        <v>1</v>
      </c>
      <c r="E8698" t="str">
        <f>"4574674200944395"</f>
        <v>4574674200944395</v>
      </c>
      <c r="F8698" t="str">
        <f>"889"</f>
        <v>889</v>
      </c>
      <c r="G8698">
        <v>1</v>
      </c>
      <c r="H8698">
        <v>2023</v>
      </c>
      <c r="I8698" t="s">
        <v>8813</v>
      </c>
    </row>
    <row r="8699" spans="1:9" x14ac:dyDescent="0.3">
      <c r="A8699" t="s">
        <v>10157</v>
      </c>
      <c r="B8699" t="s">
        <v>49</v>
      </c>
      <c r="C8699">
        <v>7648876604</v>
      </c>
      <c r="D8699" s="2">
        <v>1</v>
      </c>
      <c r="E8699" t="str">
        <f>"4574674200944411"</f>
        <v>4574674200944411</v>
      </c>
      <c r="F8699" t="str">
        <f>"885"</f>
        <v>885</v>
      </c>
      <c r="G8699">
        <v>1</v>
      </c>
      <c r="H8699">
        <v>2023</v>
      </c>
      <c r="I8699" t="s">
        <v>8814</v>
      </c>
    </row>
    <row r="8700" spans="1:9" x14ac:dyDescent="0.3">
      <c r="A8700" t="s">
        <v>10157</v>
      </c>
      <c r="B8700" t="s">
        <v>49</v>
      </c>
      <c r="C8700">
        <v>7648876604</v>
      </c>
      <c r="D8700" s="2">
        <v>1</v>
      </c>
      <c r="E8700" t="str">
        <f>"4574674200944437"</f>
        <v>4574674200944437</v>
      </c>
      <c r="F8700" t="str">
        <f>"664"</f>
        <v>664</v>
      </c>
      <c r="G8700">
        <v>1</v>
      </c>
      <c r="H8700">
        <v>2023</v>
      </c>
      <c r="I8700" t="s">
        <v>8815</v>
      </c>
    </row>
    <row r="8701" spans="1:9" x14ac:dyDescent="0.3">
      <c r="A8701" t="s">
        <v>10157</v>
      </c>
      <c r="B8701" t="s">
        <v>49</v>
      </c>
      <c r="C8701">
        <v>7648876604</v>
      </c>
      <c r="D8701" s="2">
        <v>1</v>
      </c>
      <c r="E8701" t="str">
        <f>"4574674200944460"</f>
        <v>4574674200944460</v>
      </c>
      <c r="F8701" t="str">
        <f>"002"</f>
        <v>002</v>
      </c>
      <c r="G8701">
        <v>1</v>
      </c>
      <c r="H8701">
        <v>2023</v>
      </c>
      <c r="I8701" t="s">
        <v>8816</v>
      </c>
    </row>
    <row r="8702" spans="1:9" x14ac:dyDescent="0.3">
      <c r="A8702" t="s">
        <v>10157</v>
      </c>
      <c r="B8702" t="s">
        <v>49</v>
      </c>
      <c r="C8702">
        <v>7648876604</v>
      </c>
      <c r="D8702" s="2">
        <v>1</v>
      </c>
      <c r="E8702" t="str">
        <f>"4574674200943330"</f>
        <v>4574674200943330</v>
      </c>
      <c r="F8702" t="str">
        <f>"592"</f>
        <v>592</v>
      </c>
      <c r="G8702">
        <v>1</v>
      </c>
      <c r="H8702">
        <v>2023</v>
      </c>
      <c r="I8702" t="s">
        <v>8817</v>
      </c>
    </row>
    <row r="8703" spans="1:9" x14ac:dyDescent="0.3">
      <c r="A8703" t="s">
        <v>10157</v>
      </c>
      <c r="B8703" t="s">
        <v>49</v>
      </c>
      <c r="C8703">
        <v>7648876604</v>
      </c>
      <c r="D8703" s="2">
        <v>1</v>
      </c>
      <c r="E8703" t="str">
        <f>"4574674200944551"</f>
        <v>4574674200944551</v>
      </c>
      <c r="F8703" t="str">
        <f>"609"</f>
        <v>609</v>
      </c>
      <c r="G8703">
        <v>1</v>
      </c>
      <c r="H8703">
        <v>2023</v>
      </c>
      <c r="I8703" t="s">
        <v>8818</v>
      </c>
    </row>
    <row r="8704" spans="1:9" x14ac:dyDescent="0.3">
      <c r="A8704" t="s">
        <v>10157</v>
      </c>
      <c r="B8704" t="s">
        <v>49</v>
      </c>
      <c r="C8704">
        <v>7648876604</v>
      </c>
      <c r="D8704" s="2">
        <v>1</v>
      </c>
      <c r="E8704" t="str">
        <f>"4574674200944569"</f>
        <v>4574674200944569</v>
      </c>
      <c r="F8704" t="str">
        <f>"499"</f>
        <v>499</v>
      </c>
      <c r="G8704">
        <v>1</v>
      </c>
      <c r="H8704">
        <v>2023</v>
      </c>
      <c r="I8704" t="s">
        <v>8819</v>
      </c>
    </row>
    <row r="8705" spans="1:9" x14ac:dyDescent="0.3">
      <c r="A8705" t="s">
        <v>10157</v>
      </c>
      <c r="B8705" t="s">
        <v>49</v>
      </c>
      <c r="C8705">
        <v>7648876604</v>
      </c>
      <c r="D8705" s="2">
        <v>1</v>
      </c>
      <c r="E8705" t="str">
        <f>"4574674200944585"</f>
        <v>4574674200944585</v>
      </c>
      <c r="F8705" t="str">
        <f>"101"</f>
        <v>101</v>
      </c>
      <c r="G8705">
        <v>1</v>
      </c>
      <c r="H8705">
        <v>2023</v>
      </c>
      <c r="I8705" t="s">
        <v>8820</v>
      </c>
    </row>
    <row r="8706" spans="1:9" x14ac:dyDescent="0.3">
      <c r="A8706" t="s">
        <v>10158</v>
      </c>
      <c r="B8706" t="s">
        <v>50</v>
      </c>
      <c r="C8706">
        <v>7648876604</v>
      </c>
      <c r="D8706" s="2">
        <v>1</v>
      </c>
      <c r="E8706" t="str">
        <f>"4574674200944593"</f>
        <v>4574674200944593</v>
      </c>
      <c r="F8706" t="str">
        <f>"922"</f>
        <v>922</v>
      </c>
      <c r="G8706">
        <v>1</v>
      </c>
      <c r="H8706">
        <v>2023</v>
      </c>
      <c r="I8706" t="s">
        <v>8821</v>
      </c>
    </row>
    <row r="8707" spans="1:9" x14ac:dyDescent="0.3">
      <c r="A8707" t="s">
        <v>10158</v>
      </c>
      <c r="B8707" t="s">
        <v>50</v>
      </c>
      <c r="C8707">
        <v>7648876604</v>
      </c>
      <c r="D8707" s="2">
        <v>1</v>
      </c>
      <c r="E8707" t="str">
        <f>"4574674200944619"</f>
        <v>4574674200944619</v>
      </c>
      <c r="F8707" t="str">
        <f>"640"</f>
        <v>640</v>
      </c>
      <c r="G8707">
        <v>1</v>
      </c>
      <c r="H8707">
        <v>2023</v>
      </c>
      <c r="I8707" t="s">
        <v>8822</v>
      </c>
    </row>
    <row r="8708" spans="1:9" x14ac:dyDescent="0.3">
      <c r="A8708" t="s">
        <v>10158</v>
      </c>
      <c r="B8708" t="s">
        <v>50</v>
      </c>
      <c r="C8708">
        <v>7648876604</v>
      </c>
      <c r="D8708" s="2">
        <v>1</v>
      </c>
      <c r="E8708" t="str">
        <f>"4574674200944668"</f>
        <v>4574674200944668</v>
      </c>
      <c r="F8708" t="str">
        <f>"222"</f>
        <v>222</v>
      </c>
      <c r="G8708">
        <v>1</v>
      </c>
      <c r="H8708">
        <v>2023</v>
      </c>
      <c r="I8708" t="s">
        <v>8823</v>
      </c>
    </row>
    <row r="8709" spans="1:9" x14ac:dyDescent="0.3">
      <c r="A8709" t="s">
        <v>10158</v>
      </c>
      <c r="B8709" t="s">
        <v>50</v>
      </c>
      <c r="C8709">
        <v>7648876604</v>
      </c>
      <c r="D8709" s="2">
        <v>1</v>
      </c>
      <c r="E8709" t="str">
        <f>"4574674200944734"</f>
        <v>4574674200944734</v>
      </c>
      <c r="F8709" t="str">
        <f>"336"</f>
        <v>336</v>
      </c>
      <c r="G8709">
        <v>1</v>
      </c>
      <c r="H8709">
        <v>2023</v>
      </c>
      <c r="I8709" t="s">
        <v>8824</v>
      </c>
    </row>
    <row r="8710" spans="1:9" x14ac:dyDescent="0.3">
      <c r="A8710" t="s">
        <v>10158</v>
      </c>
      <c r="B8710" t="s">
        <v>50</v>
      </c>
      <c r="C8710">
        <v>7648876604</v>
      </c>
      <c r="D8710" s="2">
        <v>1</v>
      </c>
      <c r="E8710" t="str">
        <f>"4574674200943363"</f>
        <v>4574674200943363</v>
      </c>
      <c r="F8710" t="str">
        <f>"049"</f>
        <v>049</v>
      </c>
      <c r="G8710">
        <v>1</v>
      </c>
      <c r="H8710">
        <v>2023</v>
      </c>
      <c r="I8710" t="s">
        <v>8825</v>
      </c>
    </row>
    <row r="8711" spans="1:9" x14ac:dyDescent="0.3">
      <c r="A8711" t="s">
        <v>10158</v>
      </c>
      <c r="B8711" t="s">
        <v>50</v>
      </c>
      <c r="C8711">
        <v>7648876604</v>
      </c>
      <c r="D8711" s="2">
        <v>1</v>
      </c>
      <c r="E8711" t="str">
        <f>"4574674200944759"</f>
        <v>4574674200944759</v>
      </c>
      <c r="F8711" t="str">
        <f>"803"</f>
        <v>803</v>
      </c>
      <c r="G8711">
        <v>1</v>
      </c>
      <c r="H8711">
        <v>2023</v>
      </c>
      <c r="I8711" t="s">
        <v>8826</v>
      </c>
    </row>
    <row r="8712" spans="1:9" x14ac:dyDescent="0.3">
      <c r="A8712" t="s">
        <v>10158</v>
      </c>
      <c r="B8712" t="s">
        <v>50</v>
      </c>
      <c r="C8712">
        <v>7648876604</v>
      </c>
      <c r="D8712" s="2">
        <v>1</v>
      </c>
      <c r="E8712" t="str">
        <f>"4574674200944767"</f>
        <v>4574674200944767</v>
      </c>
      <c r="F8712" t="str">
        <f>"918"</f>
        <v>918</v>
      </c>
      <c r="G8712">
        <v>1</v>
      </c>
      <c r="H8712">
        <v>2023</v>
      </c>
      <c r="I8712" t="s">
        <v>8827</v>
      </c>
    </row>
    <row r="8713" spans="1:9" x14ac:dyDescent="0.3">
      <c r="A8713" t="s">
        <v>10158</v>
      </c>
      <c r="B8713" t="s">
        <v>50</v>
      </c>
      <c r="C8713">
        <v>7648876604</v>
      </c>
      <c r="D8713" s="2">
        <v>1</v>
      </c>
      <c r="E8713" t="str">
        <f>"4574674200944775"</f>
        <v>4574674200944775</v>
      </c>
      <c r="F8713" t="str">
        <f>"502"</f>
        <v>502</v>
      </c>
      <c r="G8713">
        <v>1</v>
      </c>
      <c r="H8713">
        <v>2023</v>
      </c>
      <c r="I8713" t="s">
        <v>8828</v>
      </c>
    </row>
    <row r="8714" spans="1:9" x14ac:dyDescent="0.3">
      <c r="A8714" t="s">
        <v>10158</v>
      </c>
      <c r="B8714" t="s">
        <v>50</v>
      </c>
      <c r="C8714">
        <v>7648876604</v>
      </c>
      <c r="D8714" s="2">
        <v>1</v>
      </c>
      <c r="E8714" t="str">
        <f>"4574674200944825"</f>
        <v>4574674200944825</v>
      </c>
      <c r="F8714" t="str">
        <f>"516"</f>
        <v>516</v>
      </c>
      <c r="G8714">
        <v>1</v>
      </c>
      <c r="H8714">
        <v>2023</v>
      </c>
      <c r="I8714" t="s">
        <v>8829</v>
      </c>
    </row>
    <row r="8715" spans="1:9" x14ac:dyDescent="0.3">
      <c r="A8715" t="s">
        <v>10158</v>
      </c>
      <c r="B8715" t="s">
        <v>50</v>
      </c>
      <c r="C8715">
        <v>7648876604</v>
      </c>
      <c r="D8715" s="2">
        <v>1</v>
      </c>
      <c r="E8715" t="str">
        <f>"4574674200944874"</f>
        <v>4574674200944874</v>
      </c>
      <c r="F8715" t="str">
        <f>"450"</f>
        <v>450</v>
      </c>
      <c r="G8715">
        <v>1</v>
      </c>
      <c r="H8715">
        <v>2023</v>
      </c>
      <c r="I8715" t="s">
        <v>8830</v>
      </c>
    </row>
    <row r="8716" spans="1:9" x14ac:dyDescent="0.3">
      <c r="A8716" t="s">
        <v>10159</v>
      </c>
      <c r="B8716" t="s">
        <v>51</v>
      </c>
      <c r="C8716">
        <v>7648876604</v>
      </c>
      <c r="D8716" s="2">
        <v>1</v>
      </c>
      <c r="E8716" t="str">
        <f>"4574674200943397"</f>
        <v>4574674200943397</v>
      </c>
      <c r="F8716" t="str">
        <f>"831"</f>
        <v>831</v>
      </c>
      <c r="G8716">
        <v>1</v>
      </c>
      <c r="H8716">
        <v>2023</v>
      </c>
      <c r="I8716" t="s">
        <v>8831</v>
      </c>
    </row>
    <row r="8717" spans="1:9" x14ac:dyDescent="0.3">
      <c r="A8717" t="s">
        <v>10159</v>
      </c>
      <c r="B8717" t="s">
        <v>51</v>
      </c>
      <c r="C8717">
        <v>7648876604</v>
      </c>
      <c r="D8717" s="2">
        <v>1</v>
      </c>
      <c r="E8717" t="str">
        <f>"4574674200944932"</f>
        <v>4574674200944932</v>
      </c>
      <c r="F8717" t="str">
        <f>"306"</f>
        <v>306</v>
      </c>
      <c r="G8717">
        <v>1</v>
      </c>
      <c r="H8717">
        <v>2023</v>
      </c>
      <c r="I8717" t="s">
        <v>8832</v>
      </c>
    </row>
    <row r="8718" spans="1:9" x14ac:dyDescent="0.3">
      <c r="A8718" t="s">
        <v>10159</v>
      </c>
      <c r="B8718" t="s">
        <v>51</v>
      </c>
      <c r="C8718">
        <v>7648876604</v>
      </c>
      <c r="D8718" s="2">
        <v>1</v>
      </c>
      <c r="E8718" t="str">
        <f>"4574674200944924"</f>
        <v>4574674200944924</v>
      </c>
      <c r="F8718" t="str">
        <f>"865"</f>
        <v>865</v>
      </c>
      <c r="G8718">
        <v>1</v>
      </c>
      <c r="H8718">
        <v>2023</v>
      </c>
      <c r="I8718" t="s">
        <v>8833</v>
      </c>
    </row>
    <row r="8719" spans="1:9" x14ac:dyDescent="0.3">
      <c r="A8719" t="s">
        <v>10159</v>
      </c>
      <c r="B8719" t="s">
        <v>51</v>
      </c>
      <c r="C8719">
        <v>7648876604</v>
      </c>
      <c r="D8719" s="2">
        <v>1</v>
      </c>
      <c r="E8719" t="str">
        <f>"4574674200944940"</f>
        <v>4574674200944940</v>
      </c>
      <c r="F8719" t="str">
        <f>"017"</f>
        <v>017</v>
      </c>
      <c r="G8719">
        <v>1</v>
      </c>
      <c r="H8719">
        <v>2023</v>
      </c>
      <c r="I8719" t="s">
        <v>8834</v>
      </c>
    </row>
    <row r="8720" spans="1:9" x14ac:dyDescent="0.3">
      <c r="A8720" t="s">
        <v>10159</v>
      </c>
      <c r="B8720" t="s">
        <v>51</v>
      </c>
      <c r="C8720">
        <v>7648876604</v>
      </c>
      <c r="D8720" s="2">
        <v>1</v>
      </c>
      <c r="E8720" t="str">
        <f>"4574674200944999"</f>
        <v>4574674200944999</v>
      </c>
      <c r="F8720" t="str">
        <f>"123"</f>
        <v>123</v>
      </c>
      <c r="G8720">
        <v>1</v>
      </c>
      <c r="H8720">
        <v>2023</v>
      </c>
      <c r="I8720" t="s">
        <v>8835</v>
      </c>
    </row>
    <row r="8721" spans="1:9" x14ac:dyDescent="0.3">
      <c r="A8721" t="s">
        <v>10159</v>
      </c>
      <c r="B8721" t="s">
        <v>51</v>
      </c>
      <c r="C8721">
        <v>7648876604</v>
      </c>
      <c r="D8721" s="2">
        <v>1</v>
      </c>
      <c r="E8721" t="str">
        <f>"4574674200945020"</f>
        <v>4574674200945020</v>
      </c>
      <c r="F8721" t="str">
        <f>"435"</f>
        <v>435</v>
      </c>
      <c r="G8721">
        <v>1</v>
      </c>
      <c r="H8721">
        <v>2023</v>
      </c>
      <c r="I8721" t="s">
        <v>8836</v>
      </c>
    </row>
    <row r="8722" spans="1:9" x14ac:dyDescent="0.3">
      <c r="A8722" t="s">
        <v>10159</v>
      </c>
      <c r="B8722" t="s">
        <v>51</v>
      </c>
      <c r="C8722">
        <v>7648876604</v>
      </c>
      <c r="D8722" s="2">
        <v>1</v>
      </c>
      <c r="E8722" t="str">
        <f>"4574674200945202"</f>
        <v>4574674200945202</v>
      </c>
      <c r="F8722" t="str">
        <f>"306"</f>
        <v>306</v>
      </c>
      <c r="G8722">
        <v>1</v>
      </c>
      <c r="H8722">
        <v>2023</v>
      </c>
      <c r="I8722" t="s">
        <v>8837</v>
      </c>
    </row>
    <row r="8723" spans="1:9" x14ac:dyDescent="0.3">
      <c r="A8723" t="s">
        <v>10159</v>
      </c>
      <c r="B8723" t="s">
        <v>51</v>
      </c>
      <c r="C8723">
        <v>7648876604</v>
      </c>
      <c r="D8723" s="2">
        <v>1</v>
      </c>
      <c r="E8723" t="str">
        <f>"4574674200945095"</f>
        <v>4574674200945095</v>
      </c>
      <c r="F8723" t="str">
        <f>"700"</f>
        <v>700</v>
      </c>
      <c r="G8723">
        <v>1</v>
      </c>
      <c r="H8723">
        <v>2023</v>
      </c>
      <c r="I8723" t="s">
        <v>8838</v>
      </c>
    </row>
    <row r="8724" spans="1:9" x14ac:dyDescent="0.3">
      <c r="A8724" t="s">
        <v>10159</v>
      </c>
      <c r="B8724" t="s">
        <v>51</v>
      </c>
      <c r="C8724">
        <v>7648876604</v>
      </c>
      <c r="D8724" s="2">
        <v>1</v>
      </c>
      <c r="E8724" t="str">
        <f>"4574674200945103"</f>
        <v>4574674200945103</v>
      </c>
      <c r="F8724" t="str">
        <f>"801"</f>
        <v>801</v>
      </c>
      <c r="G8724">
        <v>1</v>
      </c>
      <c r="H8724">
        <v>2023</v>
      </c>
      <c r="I8724" t="s">
        <v>8839</v>
      </c>
    </row>
    <row r="8725" spans="1:9" x14ac:dyDescent="0.3">
      <c r="A8725" t="s">
        <v>10159</v>
      </c>
      <c r="B8725" t="s">
        <v>51</v>
      </c>
      <c r="C8725">
        <v>7648876604</v>
      </c>
      <c r="D8725" s="2">
        <v>1</v>
      </c>
      <c r="E8725" t="str">
        <f>"4574674200945111"</f>
        <v>4574674200945111</v>
      </c>
      <c r="F8725" t="str">
        <f>"557"</f>
        <v>557</v>
      </c>
      <c r="G8725">
        <v>1</v>
      </c>
      <c r="H8725">
        <v>2023</v>
      </c>
      <c r="I8725" t="s">
        <v>8840</v>
      </c>
    </row>
    <row r="8726" spans="1:9" x14ac:dyDescent="0.3">
      <c r="A8726" t="s">
        <v>10130</v>
      </c>
      <c r="B8726" t="s">
        <v>22</v>
      </c>
      <c r="C8726">
        <v>7648876604</v>
      </c>
      <c r="D8726" s="2">
        <v>1</v>
      </c>
      <c r="E8726" t="str">
        <f>"4574674200945160"</f>
        <v>4574674200945160</v>
      </c>
      <c r="F8726" t="str">
        <f>"381"</f>
        <v>381</v>
      </c>
      <c r="G8726">
        <v>1</v>
      </c>
      <c r="H8726">
        <v>2023</v>
      </c>
      <c r="I8726" t="s">
        <v>8841</v>
      </c>
    </row>
    <row r="8727" spans="1:9" x14ac:dyDescent="0.3">
      <c r="A8727" t="s">
        <v>10130</v>
      </c>
      <c r="B8727" t="s">
        <v>22</v>
      </c>
      <c r="C8727">
        <v>7648876604</v>
      </c>
      <c r="D8727" s="2">
        <v>1</v>
      </c>
      <c r="E8727" t="str">
        <f>"4574674200945210"</f>
        <v>4574674200945210</v>
      </c>
      <c r="F8727" t="str">
        <f>"576"</f>
        <v>576</v>
      </c>
      <c r="G8727">
        <v>1</v>
      </c>
      <c r="H8727">
        <v>2023</v>
      </c>
      <c r="I8727" t="s">
        <v>8842</v>
      </c>
    </row>
    <row r="8728" spans="1:9" x14ac:dyDescent="0.3">
      <c r="A8728" t="s">
        <v>10130</v>
      </c>
      <c r="B8728" t="s">
        <v>22</v>
      </c>
      <c r="C8728">
        <v>7648876604</v>
      </c>
      <c r="D8728" s="2">
        <v>1</v>
      </c>
      <c r="E8728" t="str">
        <f>"4574674200945400"</f>
        <v>4574674200945400</v>
      </c>
      <c r="F8728" t="str">
        <f>"267"</f>
        <v>267</v>
      </c>
      <c r="G8728">
        <v>1</v>
      </c>
      <c r="H8728">
        <v>2023</v>
      </c>
      <c r="I8728" t="s">
        <v>8843</v>
      </c>
    </row>
    <row r="8729" spans="1:9" x14ac:dyDescent="0.3">
      <c r="A8729" t="s">
        <v>10130</v>
      </c>
      <c r="B8729" t="s">
        <v>22</v>
      </c>
      <c r="C8729">
        <v>7648876604</v>
      </c>
      <c r="D8729" s="2">
        <v>1</v>
      </c>
      <c r="E8729" t="str">
        <f>"4574674200945442"</f>
        <v>4574674200945442</v>
      </c>
      <c r="F8729" t="str">
        <f>"882"</f>
        <v>882</v>
      </c>
      <c r="G8729">
        <v>1</v>
      </c>
      <c r="H8729">
        <v>2023</v>
      </c>
      <c r="I8729" t="s">
        <v>8844</v>
      </c>
    </row>
    <row r="8730" spans="1:9" x14ac:dyDescent="0.3">
      <c r="A8730" t="s">
        <v>10130</v>
      </c>
      <c r="B8730" t="s">
        <v>22</v>
      </c>
      <c r="C8730">
        <v>7648876604</v>
      </c>
      <c r="D8730" s="2">
        <v>1</v>
      </c>
      <c r="E8730" t="str">
        <f>"4574674200945467"</f>
        <v>4574674200945467</v>
      </c>
      <c r="F8730" t="str">
        <f>"436"</f>
        <v>436</v>
      </c>
      <c r="G8730">
        <v>1</v>
      </c>
      <c r="H8730">
        <v>2023</v>
      </c>
      <c r="I8730" t="s">
        <v>8845</v>
      </c>
    </row>
    <row r="8731" spans="1:9" x14ac:dyDescent="0.3">
      <c r="A8731" t="s">
        <v>10130</v>
      </c>
      <c r="B8731" t="s">
        <v>22</v>
      </c>
      <c r="C8731">
        <v>7648876604</v>
      </c>
      <c r="D8731" s="2">
        <v>1</v>
      </c>
      <c r="E8731" t="str">
        <f>"4574674200945517"</f>
        <v>4574674200945517</v>
      </c>
      <c r="F8731" t="str">
        <f>"322"</f>
        <v>322</v>
      </c>
      <c r="G8731">
        <v>1</v>
      </c>
      <c r="H8731">
        <v>2023</v>
      </c>
      <c r="I8731" t="s">
        <v>8846</v>
      </c>
    </row>
    <row r="8732" spans="1:9" x14ac:dyDescent="0.3">
      <c r="A8732" t="s">
        <v>10130</v>
      </c>
      <c r="B8732" t="s">
        <v>22</v>
      </c>
      <c r="C8732">
        <v>7648876604</v>
      </c>
      <c r="D8732" s="2">
        <v>1</v>
      </c>
      <c r="E8732" t="str">
        <f>"4574674200945566"</f>
        <v>4574674200945566</v>
      </c>
      <c r="F8732" t="str">
        <f>"078"</f>
        <v>078</v>
      </c>
      <c r="G8732">
        <v>1</v>
      </c>
      <c r="H8732">
        <v>2023</v>
      </c>
      <c r="I8732" t="s">
        <v>8847</v>
      </c>
    </row>
    <row r="8733" spans="1:9" x14ac:dyDescent="0.3">
      <c r="A8733" t="s">
        <v>10130</v>
      </c>
      <c r="B8733" t="s">
        <v>22</v>
      </c>
      <c r="C8733">
        <v>7648876604</v>
      </c>
      <c r="D8733" s="2">
        <v>1</v>
      </c>
      <c r="E8733" t="str">
        <f>"4574674200945608"</f>
        <v>4574674200945608</v>
      </c>
      <c r="F8733" t="str">
        <f>"109"</f>
        <v>109</v>
      </c>
      <c r="G8733">
        <v>1</v>
      </c>
      <c r="H8733">
        <v>2023</v>
      </c>
      <c r="I8733" t="s">
        <v>8848</v>
      </c>
    </row>
    <row r="8734" spans="1:9" x14ac:dyDescent="0.3">
      <c r="A8734" t="s">
        <v>10130</v>
      </c>
      <c r="B8734" t="s">
        <v>22</v>
      </c>
      <c r="C8734">
        <v>7648876604</v>
      </c>
      <c r="D8734" s="2">
        <v>1</v>
      </c>
      <c r="E8734" t="str">
        <f>"4574674200945616"</f>
        <v>4574674200945616</v>
      </c>
      <c r="F8734" t="str">
        <f>"244"</f>
        <v>244</v>
      </c>
      <c r="G8734">
        <v>1</v>
      </c>
      <c r="H8734">
        <v>2023</v>
      </c>
      <c r="I8734" t="s">
        <v>8849</v>
      </c>
    </row>
    <row r="8735" spans="1:9" x14ac:dyDescent="0.3">
      <c r="A8735" t="s">
        <v>10130</v>
      </c>
      <c r="B8735" t="s">
        <v>22</v>
      </c>
      <c r="C8735">
        <v>7648876604</v>
      </c>
      <c r="D8735" s="2">
        <v>1</v>
      </c>
      <c r="E8735" t="str">
        <f>"4574674200945657"</f>
        <v>4574674200945657</v>
      </c>
      <c r="F8735" t="str">
        <f>"411"</f>
        <v>411</v>
      </c>
      <c r="G8735">
        <v>1</v>
      </c>
      <c r="H8735">
        <v>2023</v>
      </c>
      <c r="I8735" t="s">
        <v>8850</v>
      </c>
    </row>
    <row r="8736" spans="1:9" x14ac:dyDescent="0.3">
      <c r="A8736" t="s">
        <v>10132</v>
      </c>
      <c r="B8736" t="s">
        <v>24</v>
      </c>
      <c r="C8736">
        <v>7648876604</v>
      </c>
      <c r="D8736" s="2">
        <v>1</v>
      </c>
      <c r="E8736" t="str">
        <f>"4574674200945244"</f>
        <v>4574674200945244</v>
      </c>
      <c r="F8736" t="str">
        <f>"797"</f>
        <v>797</v>
      </c>
      <c r="G8736">
        <v>1</v>
      </c>
      <c r="H8736">
        <v>2023</v>
      </c>
      <c r="I8736" t="s">
        <v>8851</v>
      </c>
    </row>
    <row r="8737" spans="1:9" x14ac:dyDescent="0.3">
      <c r="A8737" t="s">
        <v>10132</v>
      </c>
      <c r="B8737" t="s">
        <v>24</v>
      </c>
      <c r="C8737">
        <v>7648876604</v>
      </c>
      <c r="D8737" s="2">
        <v>1</v>
      </c>
      <c r="E8737" t="str">
        <f>"4574674200945681"</f>
        <v>4574674200945681</v>
      </c>
      <c r="F8737" t="str">
        <f>"210"</f>
        <v>210</v>
      </c>
      <c r="G8737">
        <v>1</v>
      </c>
      <c r="H8737">
        <v>2023</v>
      </c>
      <c r="I8737" t="s">
        <v>8852</v>
      </c>
    </row>
    <row r="8738" spans="1:9" x14ac:dyDescent="0.3">
      <c r="A8738" t="s">
        <v>10132</v>
      </c>
      <c r="B8738" t="s">
        <v>24</v>
      </c>
      <c r="C8738">
        <v>7648876604</v>
      </c>
      <c r="D8738" s="2">
        <v>1</v>
      </c>
      <c r="E8738" t="str">
        <f>"4574674200945251"</f>
        <v>4574674200945251</v>
      </c>
      <c r="F8738" t="str">
        <f>"835"</f>
        <v>835</v>
      </c>
      <c r="G8738">
        <v>1</v>
      </c>
      <c r="H8738">
        <v>2023</v>
      </c>
      <c r="I8738" t="s">
        <v>8853</v>
      </c>
    </row>
    <row r="8739" spans="1:9" x14ac:dyDescent="0.3">
      <c r="A8739" t="s">
        <v>10132</v>
      </c>
      <c r="B8739" t="s">
        <v>24</v>
      </c>
      <c r="C8739">
        <v>7648876604</v>
      </c>
      <c r="D8739" s="2">
        <v>1</v>
      </c>
      <c r="E8739" t="str">
        <f>"4574674200945723"</f>
        <v>4574674200945723</v>
      </c>
      <c r="F8739" t="str">
        <f>"006"</f>
        <v>006</v>
      </c>
      <c r="G8739">
        <v>1</v>
      </c>
      <c r="H8739">
        <v>2023</v>
      </c>
      <c r="I8739" t="s">
        <v>8854</v>
      </c>
    </row>
    <row r="8740" spans="1:9" x14ac:dyDescent="0.3">
      <c r="A8740" t="s">
        <v>10132</v>
      </c>
      <c r="B8740" t="s">
        <v>24</v>
      </c>
      <c r="C8740">
        <v>7648876604</v>
      </c>
      <c r="D8740" s="2">
        <v>1</v>
      </c>
      <c r="E8740" t="str">
        <f>"4574674200945749"</f>
        <v>4574674200945749</v>
      </c>
      <c r="F8740" t="str">
        <f>"504"</f>
        <v>504</v>
      </c>
      <c r="G8740">
        <v>1</v>
      </c>
      <c r="H8740">
        <v>2023</v>
      </c>
      <c r="I8740" t="s">
        <v>8855</v>
      </c>
    </row>
    <row r="8741" spans="1:9" x14ac:dyDescent="0.3">
      <c r="A8741" t="s">
        <v>10132</v>
      </c>
      <c r="B8741" t="s">
        <v>24</v>
      </c>
      <c r="C8741">
        <v>7648876604</v>
      </c>
      <c r="D8741" s="2">
        <v>1</v>
      </c>
      <c r="E8741" t="str">
        <f>"4574674200945756"</f>
        <v>4574674200945756</v>
      </c>
      <c r="F8741" t="str">
        <f>"732"</f>
        <v>732</v>
      </c>
      <c r="G8741">
        <v>1</v>
      </c>
      <c r="H8741">
        <v>2023</v>
      </c>
      <c r="I8741" t="s">
        <v>8856</v>
      </c>
    </row>
    <row r="8742" spans="1:9" x14ac:dyDescent="0.3">
      <c r="A8742" t="s">
        <v>10132</v>
      </c>
      <c r="B8742" t="s">
        <v>24</v>
      </c>
      <c r="C8742">
        <v>7648876604</v>
      </c>
      <c r="D8742" s="2">
        <v>1</v>
      </c>
      <c r="E8742" t="str">
        <f>"4574674200945830"</f>
        <v>4574674200945830</v>
      </c>
      <c r="F8742" t="str">
        <f>"975"</f>
        <v>975</v>
      </c>
      <c r="G8742">
        <v>1</v>
      </c>
      <c r="H8742">
        <v>2023</v>
      </c>
      <c r="I8742" t="s">
        <v>8857</v>
      </c>
    </row>
    <row r="8743" spans="1:9" x14ac:dyDescent="0.3">
      <c r="A8743" t="s">
        <v>10132</v>
      </c>
      <c r="B8743" t="s">
        <v>24</v>
      </c>
      <c r="C8743">
        <v>7648876604</v>
      </c>
      <c r="D8743" s="2">
        <v>1</v>
      </c>
      <c r="E8743" t="str">
        <f>"4574674200945848"</f>
        <v>4574674200945848</v>
      </c>
      <c r="F8743" t="str">
        <f>"394"</f>
        <v>394</v>
      </c>
      <c r="G8743">
        <v>1</v>
      </c>
      <c r="H8743">
        <v>2023</v>
      </c>
      <c r="I8743" t="s">
        <v>8858</v>
      </c>
    </row>
    <row r="8744" spans="1:9" x14ac:dyDescent="0.3">
      <c r="A8744" t="s">
        <v>10132</v>
      </c>
      <c r="B8744" t="s">
        <v>24</v>
      </c>
      <c r="C8744">
        <v>7648876604</v>
      </c>
      <c r="D8744" s="2">
        <v>1</v>
      </c>
      <c r="E8744" t="str">
        <f>"4574674200945863"</f>
        <v>4574674200945863</v>
      </c>
      <c r="F8744" t="str">
        <f>"139"</f>
        <v>139</v>
      </c>
      <c r="G8744">
        <v>1</v>
      </c>
      <c r="H8744">
        <v>2023</v>
      </c>
      <c r="I8744" t="s">
        <v>8859</v>
      </c>
    </row>
    <row r="8745" spans="1:9" x14ac:dyDescent="0.3">
      <c r="A8745" t="s">
        <v>10132</v>
      </c>
      <c r="B8745" t="s">
        <v>24</v>
      </c>
      <c r="C8745">
        <v>7648876604</v>
      </c>
      <c r="D8745" s="2">
        <v>1</v>
      </c>
      <c r="E8745" t="str">
        <f>"4574674200945905"</f>
        <v>4574674200945905</v>
      </c>
      <c r="F8745" t="str">
        <f>"938"</f>
        <v>938</v>
      </c>
      <c r="G8745">
        <v>1</v>
      </c>
      <c r="H8745">
        <v>2023</v>
      </c>
      <c r="I8745" t="s">
        <v>8860</v>
      </c>
    </row>
    <row r="8746" spans="1:9" x14ac:dyDescent="0.3">
      <c r="A8746" t="s">
        <v>10160</v>
      </c>
      <c r="B8746" t="s">
        <v>52</v>
      </c>
      <c r="C8746">
        <v>7648876604</v>
      </c>
      <c r="D8746" s="2">
        <v>1</v>
      </c>
      <c r="E8746" t="str">
        <f>"4574674200945988"</f>
        <v>4574674200945988</v>
      </c>
      <c r="F8746" t="str">
        <f>"721"</f>
        <v>721</v>
      </c>
      <c r="G8746">
        <v>1</v>
      </c>
      <c r="H8746">
        <v>2023</v>
      </c>
      <c r="I8746" t="s">
        <v>8861</v>
      </c>
    </row>
    <row r="8747" spans="1:9" x14ac:dyDescent="0.3">
      <c r="A8747" t="s">
        <v>10160</v>
      </c>
      <c r="B8747" t="s">
        <v>52</v>
      </c>
      <c r="C8747">
        <v>7648876604</v>
      </c>
      <c r="D8747" s="2">
        <v>1</v>
      </c>
      <c r="E8747" t="str">
        <f>"4574674200945954"</f>
        <v>4574674200945954</v>
      </c>
      <c r="F8747" t="str">
        <f>"966"</f>
        <v>966</v>
      </c>
      <c r="G8747">
        <v>1</v>
      </c>
      <c r="H8747">
        <v>2023</v>
      </c>
      <c r="I8747" t="s">
        <v>8862</v>
      </c>
    </row>
    <row r="8748" spans="1:9" x14ac:dyDescent="0.3">
      <c r="A8748" t="s">
        <v>10160</v>
      </c>
      <c r="B8748" t="s">
        <v>52</v>
      </c>
      <c r="C8748">
        <v>7648876604</v>
      </c>
      <c r="D8748" s="2">
        <v>1</v>
      </c>
      <c r="E8748" t="str">
        <f>"4574674200945970"</f>
        <v>4574674200945970</v>
      </c>
      <c r="F8748" t="str">
        <f>"109"</f>
        <v>109</v>
      </c>
      <c r="G8748">
        <v>1</v>
      </c>
      <c r="H8748">
        <v>2023</v>
      </c>
      <c r="I8748" t="s">
        <v>8863</v>
      </c>
    </row>
    <row r="8749" spans="1:9" x14ac:dyDescent="0.3">
      <c r="A8749" t="s">
        <v>10160</v>
      </c>
      <c r="B8749" t="s">
        <v>52</v>
      </c>
      <c r="C8749">
        <v>7648876604</v>
      </c>
      <c r="D8749" s="2">
        <v>1</v>
      </c>
      <c r="E8749" t="str">
        <f>"4574674200946077"</f>
        <v>4574674200946077</v>
      </c>
      <c r="F8749" t="str">
        <f>"124"</f>
        <v>124</v>
      </c>
      <c r="G8749">
        <v>1</v>
      </c>
      <c r="H8749">
        <v>2023</v>
      </c>
      <c r="I8749" t="s">
        <v>8864</v>
      </c>
    </row>
    <row r="8750" spans="1:9" x14ac:dyDescent="0.3">
      <c r="A8750" t="s">
        <v>10160</v>
      </c>
      <c r="B8750" t="s">
        <v>52</v>
      </c>
      <c r="C8750">
        <v>7648876604</v>
      </c>
      <c r="D8750" s="2">
        <v>1</v>
      </c>
      <c r="E8750" t="str">
        <f>"4574674200946168"</f>
        <v>4574674200946168</v>
      </c>
      <c r="F8750" t="str">
        <f>"472"</f>
        <v>472</v>
      </c>
      <c r="G8750">
        <v>1</v>
      </c>
      <c r="H8750">
        <v>2023</v>
      </c>
      <c r="I8750" t="s">
        <v>8865</v>
      </c>
    </row>
    <row r="8751" spans="1:9" x14ac:dyDescent="0.3">
      <c r="A8751" t="s">
        <v>10160</v>
      </c>
      <c r="B8751" t="s">
        <v>52</v>
      </c>
      <c r="C8751">
        <v>7648876604</v>
      </c>
      <c r="D8751" s="2">
        <v>1</v>
      </c>
      <c r="E8751" t="str">
        <f>"4574674200946291"</f>
        <v>4574674200946291</v>
      </c>
      <c r="F8751" t="str">
        <f>"642"</f>
        <v>642</v>
      </c>
      <c r="G8751">
        <v>1</v>
      </c>
      <c r="H8751">
        <v>2023</v>
      </c>
      <c r="I8751" t="s">
        <v>8866</v>
      </c>
    </row>
    <row r="8752" spans="1:9" x14ac:dyDescent="0.3">
      <c r="A8752" t="s">
        <v>10160</v>
      </c>
      <c r="B8752" t="s">
        <v>52</v>
      </c>
      <c r="C8752">
        <v>7648876604</v>
      </c>
      <c r="D8752" s="2">
        <v>1</v>
      </c>
      <c r="E8752" t="str">
        <f>"4574674200946333"</f>
        <v>4574674200946333</v>
      </c>
      <c r="F8752" t="str">
        <f>"080"</f>
        <v>080</v>
      </c>
      <c r="G8752">
        <v>1</v>
      </c>
      <c r="H8752">
        <v>2023</v>
      </c>
      <c r="I8752" t="s">
        <v>8867</v>
      </c>
    </row>
    <row r="8753" spans="1:9" x14ac:dyDescent="0.3">
      <c r="A8753" t="s">
        <v>10160</v>
      </c>
      <c r="B8753" t="s">
        <v>52</v>
      </c>
      <c r="C8753">
        <v>7648876604</v>
      </c>
      <c r="D8753" s="2">
        <v>1</v>
      </c>
      <c r="E8753" t="str">
        <f>"4574674200946465"</f>
        <v>4574674200946465</v>
      </c>
      <c r="F8753" t="str">
        <f>"614"</f>
        <v>614</v>
      </c>
      <c r="G8753">
        <v>1</v>
      </c>
      <c r="H8753">
        <v>2023</v>
      </c>
      <c r="I8753" t="s">
        <v>8868</v>
      </c>
    </row>
    <row r="8754" spans="1:9" x14ac:dyDescent="0.3">
      <c r="A8754" t="s">
        <v>10160</v>
      </c>
      <c r="B8754" t="s">
        <v>52</v>
      </c>
      <c r="C8754">
        <v>7648876604</v>
      </c>
      <c r="D8754" s="2">
        <v>1</v>
      </c>
      <c r="E8754" t="str">
        <f>"4574674200946473"</f>
        <v>4574674200946473</v>
      </c>
      <c r="F8754" t="str">
        <f>"677"</f>
        <v>677</v>
      </c>
      <c r="G8754">
        <v>1</v>
      </c>
      <c r="H8754">
        <v>2023</v>
      </c>
      <c r="I8754" t="s">
        <v>8869</v>
      </c>
    </row>
    <row r="8755" spans="1:9" x14ac:dyDescent="0.3">
      <c r="A8755" t="s">
        <v>10160</v>
      </c>
      <c r="B8755" t="s">
        <v>52</v>
      </c>
      <c r="C8755">
        <v>7648876604</v>
      </c>
      <c r="D8755" s="2">
        <v>1</v>
      </c>
      <c r="E8755" t="str">
        <f>"4574674200947281"</f>
        <v>4574674200947281</v>
      </c>
      <c r="F8755" t="str">
        <f>"945"</f>
        <v>945</v>
      </c>
      <c r="G8755">
        <v>1</v>
      </c>
      <c r="H8755">
        <v>2023</v>
      </c>
      <c r="I8755" t="s">
        <v>8870</v>
      </c>
    </row>
    <row r="8756" spans="1:9" x14ac:dyDescent="0.3">
      <c r="A8756" t="s">
        <v>10161</v>
      </c>
      <c r="B8756" t="s">
        <v>53</v>
      </c>
      <c r="C8756">
        <v>7648876604</v>
      </c>
      <c r="D8756" s="2">
        <v>1</v>
      </c>
      <c r="E8756" t="str">
        <f>"4574674200947307"</f>
        <v>4574674200947307</v>
      </c>
      <c r="F8756" t="str">
        <f>"027"</f>
        <v>027</v>
      </c>
      <c r="G8756">
        <v>1</v>
      </c>
      <c r="H8756">
        <v>2023</v>
      </c>
      <c r="I8756" t="s">
        <v>8871</v>
      </c>
    </row>
    <row r="8757" spans="1:9" x14ac:dyDescent="0.3">
      <c r="A8757" t="s">
        <v>10161</v>
      </c>
      <c r="B8757" t="s">
        <v>53</v>
      </c>
      <c r="C8757">
        <v>7648876604</v>
      </c>
      <c r="D8757" s="2">
        <v>1</v>
      </c>
      <c r="E8757" t="str">
        <f>"4574674200947331"</f>
        <v>4574674200947331</v>
      </c>
      <c r="F8757" t="str">
        <f>"128"</f>
        <v>128</v>
      </c>
      <c r="G8757">
        <v>1</v>
      </c>
      <c r="H8757">
        <v>2023</v>
      </c>
      <c r="I8757" t="s">
        <v>8872</v>
      </c>
    </row>
    <row r="8758" spans="1:9" x14ac:dyDescent="0.3">
      <c r="A8758" t="s">
        <v>10161</v>
      </c>
      <c r="B8758" t="s">
        <v>53</v>
      </c>
      <c r="C8758">
        <v>7648876604</v>
      </c>
      <c r="D8758" s="2">
        <v>1</v>
      </c>
      <c r="E8758" t="str">
        <f>"4574674200947356"</f>
        <v>4574674200947356</v>
      </c>
      <c r="F8758" t="str">
        <f>"708"</f>
        <v>708</v>
      </c>
      <c r="G8758">
        <v>1</v>
      </c>
      <c r="H8758">
        <v>2023</v>
      </c>
      <c r="I8758" t="s">
        <v>8873</v>
      </c>
    </row>
    <row r="8759" spans="1:9" x14ac:dyDescent="0.3">
      <c r="A8759" t="s">
        <v>10161</v>
      </c>
      <c r="B8759" t="s">
        <v>53</v>
      </c>
      <c r="C8759">
        <v>7648876604</v>
      </c>
      <c r="D8759" s="2">
        <v>1</v>
      </c>
      <c r="E8759" t="str">
        <f>"4574674200948339"</f>
        <v>4574674200948339</v>
      </c>
      <c r="F8759" t="str">
        <f>"646"</f>
        <v>646</v>
      </c>
      <c r="G8759">
        <v>1</v>
      </c>
      <c r="H8759">
        <v>2023</v>
      </c>
      <c r="I8759" t="s">
        <v>8874</v>
      </c>
    </row>
    <row r="8760" spans="1:9" x14ac:dyDescent="0.3">
      <c r="A8760" t="s">
        <v>10161</v>
      </c>
      <c r="B8760" t="s">
        <v>53</v>
      </c>
      <c r="C8760">
        <v>7648876604</v>
      </c>
      <c r="D8760" s="2">
        <v>1</v>
      </c>
      <c r="E8760" t="str">
        <f>"4574674200948289"</f>
        <v>4574674200948289</v>
      </c>
      <c r="F8760" t="str">
        <f>"511"</f>
        <v>511</v>
      </c>
      <c r="G8760">
        <v>1</v>
      </c>
      <c r="H8760">
        <v>2023</v>
      </c>
      <c r="I8760" t="s">
        <v>8875</v>
      </c>
    </row>
    <row r="8761" spans="1:9" x14ac:dyDescent="0.3">
      <c r="A8761" t="s">
        <v>10161</v>
      </c>
      <c r="B8761" t="s">
        <v>53</v>
      </c>
      <c r="C8761">
        <v>7648876604</v>
      </c>
      <c r="D8761" s="2">
        <v>1</v>
      </c>
      <c r="E8761" t="str">
        <f>"4574674200948305"</f>
        <v>4574674200948305</v>
      </c>
      <c r="F8761" t="str">
        <f>"153"</f>
        <v>153</v>
      </c>
      <c r="G8761">
        <v>1</v>
      </c>
      <c r="H8761">
        <v>2023</v>
      </c>
      <c r="I8761" t="s">
        <v>8876</v>
      </c>
    </row>
    <row r="8762" spans="1:9" x14ac:dyDescent="0.3">
      <c r="A8762" t="s">
        <v>10161</v>
      </c>
      <c r="B8762" t="s">
        <v>53</v>
      </c>
      <c r="C8762">
        <v>7648876604</v>
      </c>
      <c r="D8762" s="2">
        <v>1</v>
      </c>
      <c r="E8762" t="str">
        <f>"4574674200948354"</f>
        <v>4574674200948354</v>
      </c>
      <c r="F8762" t="str">
        <f>"479"</f>
        <v>479</v>
      </c>
      <c r="G8762">
        <v>1</v>
      </c>
      <c r="H8762">
        <v>2023</v>
      </c>
      <c r="I8762" t="s">
        <v>8877</v>
      </c>
    </row>
    <row r="8763" spans="1:9" x14ac:dyDescent="0.3">
      <c r="A8763" t="s">
        <v>10161</v>
      </c>
      <c r="B8763" t="s">
        <v>53</v>
      </c>
      <c r="C8763">
        <v>7648876604</v>
      </c>
      <c r="D8763" s="2">
        <v>1</v>
      </c>
      <c r="E8763" t="str">
        <f>"4574674200948362"</f>
        <v>4574674200948362</v>
      </c>
      <c r="F8763" t="str">
        <f>"181"</f>
        <v>181</v>
      </c>
      <c r="G8763">
        <v>1</v>
      </c>
      <c r="H8763">
        <v>2023</v>
      </c>
      <c r="I8763" t="s">
        <v>8878</v>
      </c>
    </row>
    <row r="8764" spans="1:9" x14ac:dyDescent="0.3">
      <c r="A8764" t="s">
        <v>10161</v>
      </c>
      <c r="B8764" t="s">
        <v>53</v>
      </c>
      <c r="C8764">
        <v>7648876604</v>
      </c>
      <c r="D8764" s="2">
        <v>1</v>
      </c>
      <c r="E8764" t="str">
        <f>"4574674200948461"</f>
        <v>4574674200948461</v>
      </c>
      <c r="F8764" t="str">
        <f>"985"</f>
        <v>985</v>
      </c>
      <c r="G8764">
        <v>1</v>
      </c>
      <c r="H8764">
        <v>2023</v>
      </c>
      <c r="I8764" t="s">
        <v>8879</v>
      </c>
    </row>
    <row r="8765" spans="1:9" x14ac:dyDescent="0.3">
      <c r="A8765" t="s">
        <v>10161</v>
      </c>
      <c r="B8765" t="s">
        <v>53</v>
      </c>
      <c r="C8765">
        <v>7648876604</v>
      </c>
      <c r="D8765" s="2">
        <v>1</v>
      </c>
      <c r="E8765" t="str">
        <f>"4574674200948537"</f>
        <v>4574674200948537</v>
      </c>
      <c r="F8765" t="str">
        <f>"710"</f>
        <v>710</v>
      </c>
      <c r="G8765">
        <v>1</v>
      </c>
      <c r="H8765">
        <v>2023</v>
      </c>
      <c r="I8765" t="s">
        <v>8880</v>
      </c>
    </row>
    <row r="8766" spans="1:9" x14ac:dyDescent="0.3">
      <c r="A8766" t="s">
        <v>10148</v>
      </c>
      <c r="B8766" t="s">
        <v>40</v>
      </c>
      <c r="C8766">
        <v>7648876604</v>
      </c>
      <c r="D8766" s="2">
        <v>1</v>
      </c>
      <c r="E8766" t="str">
        <f>"4574674200948487"</f>
        <v>4574674200948487</v>
      </c>
      <c r="F8766" t="str">
        <f>"026"</f>
        <v>026</v>
      </c>
      <c r="G8766">
        <v>1</v>
      </c>
      <c r="H8766">
        <v>2023</v>
      </c>
      <c r="I8766" t="s">
        <v>8881</v>
      </c>
    </row>
    <row r="8767" spans="1:9" x14ac:dyDescent="0.3">
      <c r="A8767" t="s">
        <v>10148</v>
      </c>
      <c r="B8767" t="s">
        <v>40</v>
      </c>
      <c r="C8767">
        <v>7648876604</v>
      </c>
      <c r="D8767" s="2">
        <v>1</v>
      </c>
      <c r="E8767" t="str">
        <f>"4574674200948545"</f>
        <v>4574674200948545</v>
      </c>
      <c r="F8767" t="str">
        <f>"746"</f>
        <v>746</v>
      </c>
      <c r="G8767">
        <v>1</v>
      </c>
      <c r="H8767">
        <v>2023</v>
      </c>
      <c r="I8767" t="s">
        <v>8882</v>
      </c>
    </row>
    <row r="8768" spans="1:9" x14ac:dyDescent="0.3">
      <c r="A8768" t="s">
        <v>10148</v>
      </c>
      <c r="B8768" t="s">
        <v>40</v>
      </c>
      <c r="C8768">
        <v>7648876604</v>
      </c>
      <c r="D8768" s="2">
        <v>1</v>
      </c>
      <c r="E8768" t="str">
        <f>"4574674200948560"</f>
        <v>4574674200948560</v>
      </c>
      <c r="F8768" t="str">
        <f>"305"</f>
        <v>305</v>
      </c>
      <c r="G8768">
        <v>1</v>
      </c>
      <c r="H8768">
        <v>2023</v>
      </c>
      <c r="I8768" t="s">
        <v>8883</v>
      </c>
    </row>
    <row r="8769" spans="1:9" x14ac:dyDescent="0.3">
      <c r="A8769" t="s">
        <v>10148</v>
      </c>
      <c r="B8769" t="s">
        <v>40</v>
      </c>
      <c r="C8769">
        <v>7648876604</v>
      </c>
      <c r="D8769" s="2">
        <v>1</v>
      </c>
      <c r="E8769" t="str">
        <f>"4574674200947372"</f>
        <v>4574674200947372</v>
      </c>
      <c r="F8769" t="str">
        <f>"218"</f>
        <v>218</v>
      </c>
      <c r="G8769">
        <v>1</v>
      </c>
      <c r="H8769">
        <v>2023</v>
      </c>
      <c r="I8769" t="s">
        <v>8884</v>
      </c>
    </row>
    <row r="8770" spans="1:9" x14ac:dyDescent="0.3">
      <c r="A8770" t="s">
        <v>10148</v>
      </c>
      <c r="B8770" t="s">
        <v>40</v>
      </c>
      <c r="C8770">
        <v>7648876604</v>
      </c>
      <c r="D8770" s="2">
        <v>1</v>
      </c>
      <c r="E8770" t="str">
        <f>"4574674200948644"</f>
        <v>4574674200948644</v>
      </c>
      <c r="F8770" t="str">
        <f>"447"</f>
        <v>447</v>
      </c>
      <c r="G8770">
        <v>1</v>
      </c>
      <c r="H8770">
        <v>2023</v>
      </c>
      <c r="I8770" t="s">
        <v>8885</v>
      </c>
    </row>
    <row r="8771" spans="1:9" x14ac:dyDescent="0.3">
      <c r="A8771" t="s">
        <v>10148</v>
      </c>
      <c r="B8771" t="s">
        <v>40</v>
      </c>
      <c r="C8771">
        <v>7648876604</v>
      </c>
      <c r="D8771" s="2">
        <v>1</v>
      </c>
      <c r="E8771" t="str">
        <f>"4574674200948594"</f>
        <v>4574674200948594</v>
      </c>
      <c r="F8771" t="str">
        <f>"309"</f>
        <v>309</v>
      </c>
      <c r="G8771">
        <v>1</v>
      </c>
      <c r="H8771">
        <v>2023</v>
      </c>
      <c r="I8771" t="s">
        <v>8886</v>
      </c>
    </row>
    <row r="8772" spans="1:9" x14ac:dyDescent="0.3">
      <c r="A8772" t="s">
        <v>10148</v>
      </c>
      <c r="B8772" t="s">
        <v>40</v>
      </c>
      <c r="C8772">
        <v>7648876604</v>
      </c>
      <c r="D8772" s="2">
        <v>1</v>
      </c>
      <c r="E8772" t="str">
        <f>"4574674200948685"</f>
        <v>4574674200948685</v>
      </c>
      <c r="F8772" t="str">
        <f>"115"</f>
        <v>115</v>
      </c>
      <c r="G8772">
        <v>1</v>
      </c>
      <c r="H8772">
        <v>2023</v>
      </c>
      <c r="I8772" t="s">
        <v>8887</v>
      </c>
    </row>
    <row r="8773" spans="1:9" x14ac:dyDescent="0.3">
      <c r="A8773" t="s">
        <v>10148</v>
      </c>
      <c r="B8773" t="s">
        <v>40</v>
      </c>
      <c r="C8773">
        <v>7648876604</v>
      </c>
      <c r="D8773" s="2">
        <v>1</v>
      </c>
      <c r="E8773" t="str">
        <f>"4574674200948677"</f>
        <v>4574674200948677</v>
      </c>
      <c r="F8773" t="str">
        <f>"361"</f>
        <v>361</v>
      </c>
      <c r="G8773">
        <v>1</v>
      </c>
      <c r="H8773">
        <v>2023</v>
      </c>
      <c r="I8773" t="s">
        <v>8888</v>
      </c>
    </row>
    <row r="8774" spans="1:9" x14ac:dyDescent="0.3">
      <c r="A8774" t="s">
        <v>10148</v>
      </c>
      <c r="B8774" t="s">
        <v>40</v>
      </c>
      <c r="C8774">
        <v>7648876604</v>
      </c>
      <c r="D8774" s="2">
        <v>1</v>
      </c>
      <c r="E8774" t="str">
        <f>"4574674200948719"</f>
        <v>4574674200948719</v>
      </c>
      <c r="F8774" t="str">
        <f>"452"</f>
        <v>452</v>
      </c>
      <c r="G8774">
        <v>1</v>
      </c>
      <c r="H8774">
        <v>2023</v>
      </c>
      <c r="I8774" t="s">
        <v>8889</v>
      </c>
    </row>
    <row r="8775" spans="1:9" x14ac:dyDescent="0.3">
      <c r="A8775" t="s">
        <v>10148</v>
      </c>
      <c r="B8775" t="s">
        <v>40</v>
      </c>
      <c r="C8775">
        <v>7648876604</v>
      </c>
      <c r="D8775" s="2">
        <v>1</v>
      </c>
      <c r="E8775" t="str">
        <f>"4574674200947398"</f>
        <v>4574674200947398</v>
      </c>
      <c r="F8775" t="str">
        <f>"141"</f>
        <v>141</v>
      </c>
      <c r="G8775">
        <v>1</v>
      </c>
      <c r="H8775">
        <v>2023</v>
      </c>
      <c r="I8775" t="s">
        <v>8890</v>
      </c>
    </row>
    <row r="8776" spans="1:9" x14ac:dyDescent="0.3">
      <c r="A8776" t="s">
        <v>10149</v>
      </c>
      <c r="B8776" t="s">
        <v>41</v>
      </c>
      <c r="C8776">
        <v>7648876604</v>
      </c>
      <c r="D8776" s="2">
        <v>1</v>
      </c>
      <c r="E8776" t="str">
        <f>"4574674200948834"</f>
        <v>4574674200948834</v>
      </c>
      <c r="F8776" t="str">
        <f>"307"</f>
        <v>307</v>
      </c>
      <c r="G8776">
        <v>1</v>
      </c>
      <c r="H8776">
        <v>2023</v>
      </c>
      <c r="I8776" t="s">
        <v>8891</v>
      </c>
    </row>
    <row r="8777" spans="1:9" x14ac:dyDescent="0.3">
      <c r="A8777" t="s">
        <v>10149</v>
      </c>
      <c r="B8777" t="s">
        <v>41</v>
      </c>
      <c r="C8777">
        <v>7648876604</v>
      </c>
      <c r="D8777" s="2">
        <v>1</v>
      </c>
      <c r="E8777" t="str">
        <f>"4574674200948842"</f>
        <v>4574674200948842</v>
      </c>
      <c r="F8777" t="str">
        <f>"430"</f>
        <v>430</v>
      </c>
      <c r="G8777">
        <v>1</v>
      </c>
      <c r="H8777">
        <v>2023</v>
      </c>
      <c r="I8777" t="s">
        <v>8892</v>
      </c>
    </row>
    <row r="8778" spans="1:9" x14ac:dyDescent="0.3">
      <c r="A8778" t="s">
        <v>10149</v>
      </c>
      <c r="B8778" t="s">
        <v>41</v>
      </c>
      <c r="C8778">
        <v>7648876604</v>
      </c>
      <c r="D8778" s="2">
        <v>1</v>
      </c>
      <c r="E8778" t="str">
        <f>"4574674200948859"</f>
        <v>4574674200948859</v>
      </c>
      <c r="F8778" t="str">
        <f>"076"</f>
        <v>076</v>
      </c>
      <c r="G8778">
        <v>1</v>
      </c>
      <c r="H8778">
        <v>2023</v>
      </c>
      <c r="I8778" t="s">
        <v>8893</v>
      </c>
    </row>
    <row r="8779" spans="1:9" x14ac:dyDescent="0.3">
      <c r="A8779" t="s">
        <v>10149</v>
      </c>
      <c r="B8779" t="s">
        <v>41</v>
      </c>
      <c r="C8779">
        <v>7648876604</v>
      </c>
      <c r="D8779" s="2">
        <v>1</v>
      </c>
      <c r="E8779" t="str">
        <f>"4574674200948867"</f>
        <v>4574674200948867</v>
      </c>
      <c r="F8779" t="str">
        <f>"326"</f>
        <v>326</v>
      </c>
      <c r="G8779">
        <v>1</v>
      </c>
      <c r="H8779">
        <v>2023</v>
      </c>
      <c r="I8779" t="s">
        <v>8894</v>
      </c>
    </row>
    <row r="8780" spans="1:9" x14ac:dyDescent="0.3">
      <c r="A8780" t="s">
        <v>10149</v>
      </c>
      <c r="B8780" t="s">
        <v>41</v>
      </c>
      <c r="C8780">
        <v>7648876604</v>
      </c>
      <c r="D8780" s="2">
        <v>1</v>
      </c>
      <c r="E8780" t="str">
        <f>"4574674200948883"</f>
        <v>4574674200948883</v>
      </c>
      <c r="F8780" t="str">
        <f>"858"</f>
        <v>858</v>
      </c>
      <c r="G8780">
        <v>1</v>
      </c>
      <c r="H8780">
        <v>2023</v>
      </c>
      <c r="I8780" t="s">
        <v>8895</v>
      </c>
    </row>
    <row r="8781" spans="1:9" x14ac:dyDescent="0.3">
      <c r="A8781" t="s">
        <v>10149</v>
      </c>
      <c r="B8781" t="s">
        <v>41</v>
      </c>
      <c r="C8781">
        <v>7648876604</v>
      </c>
      <c r="D8781" s="2">
        <v>1</v>
      </c>
      <c r="E8781" t="str">
        <f>"4574674200949014"</f>
        <v>4574674200949014</v>
      </c>
      <c r="F8781" t="str">
        <f>"209"</f>
        <v>209</v>
      </c>
      <c r="G8781">
        <v>1</v>
      </c>
      <c r="H8781">
        <v>2023</v>
      </c>
      <c r="I8781" t="s">
        <v>8896</v>
      </c>
    </row>
    <row r="8782" spans="1:9" x14ac:dyDescent="0.3">
      <c r="A8782" t="s">
        <v>10149</v>
      </c>
      <c r="B8782" t="s">
        <v>41</v>
      </c>
      <c r="C8782">
        <v>7648876604</v>
      </c>
      <c r="D8782" s="2">
        <v>1</v>
      </c>
      <c r="E8782" t="str">
        <f>"4574674200948966"</f>
        <v>4574674200948966</v>
      </c>
      <c r="F8782" t="str">
        <f>"189"</f>
        <v>189</v>
      </c>
      <c r="G8782">
        <v>1</v>
      </c>
      <c r="H8782">
        <v>2023</v>
      </c>
      <c r="I8782" t="s">
        <v>8897</v>
      </c>
    </row>
    <row r="8783" spans="1:9" x14ac:dyDescent="0.3">
      <c r="A8783" t="s">
        <v>10149</v>
      </c>
      <c r="B8783" t="s">
        <v>41</v>
      </c>
      <c r="C8783">
        <v>7648876604</v>
      </c>
      <c r="D8783" s="2">
        <v>1</v>
      </c>
      <c r="E8783" t="str">
        <f>"4574674200948990"</f>
        <v>4574674200948990</v>
      </c>
      <c r="F8783" t="str">
        <f>"244"</f>
        <v>244</v>
      </c>
      <c r="G8783">
        <v>1</v>
      </c>
      <c r="H8783">
        <v>2023</v>
      </c>
      <c r="I8783" t="s">
        <v>8898</v>
      </c>
    </row>
    <row r="8784" spans="1:9" x14ac:dyDescent="0.3">
      <c r="A8784" t="s">
        <v>10149</v>
      </c>
      <c r="B8784" t="s">
        <v>41</v>
      </c>
      <c r="C8784">
        <v>7648876604</v>
      </c>
      <c r="D8784" s="2">
        <v>1</v>
      </c>
      <c r="E8784" t="str">
        <f>"4574674200949246"</f>
        <v>4574674200949246</v>
      </c>
      <c r="F8784" t="str">
        <f>"315"</f>
        <v>315</v>
      </c>
      <c r="G8784">
        <v>1</v>
      </c>
      <c r="H8784">
        <v>2023</v>
      </c>
      <c r="I8784" t="s">
        <v>8899</v>
      </c>
    </row>
    <row r="8785" spans="1:9" x14ac:dyDescent="0.3">
      <c r="A8785" t="s">
        <v>10149</v>
      </c>
      <c r="B8785" t="s">
        <v>41</v>
      </c>
      <c r="C8785">
        <v>7648876604</v>
      </c>
      <c r="D8785" s="2">
        <v>1</v>
      </c>
      <c r="E8785" t="str">
        <f>"4574674200949238"</f>
        <v>4574674200949238</v>
      </c>
      <c r="F8785" t="str">
        <f>"328"</f>
        <v>328</v>
      </c>
      <c r="G8785">
        <v>1</v>
      </c>
      <c r="H8785">
        <v>2023</v>
      </c>
      <c r="I8785" t="s">
        <v>8900</v>
      </c>
    </row>
    <row r="8786" spans="1:9" x14ac:dyDescent="0.3">
      <c r="A8786" t="s">
        <v>10150</v>
      </c>
      <c r="B8786" t="s">
        <v>42</v>
      </c>
      <c r="C8786">
        <v>7648876604</v>
      </c>
      <c r="D8786" s="2">
        <v>1</v>
      </c>
      <c r="E8786" t="str">
        <f>"4574674200949253"</f>
        <v>4574674200949253</v>
      </c>
      <c r="F8786" t="str">
        <f>"337"</f>
        <v>337</v>
      </c>
      <c r="G8786">
        <v>1</v>
      </c>
      <c r="H8786">
        <v>2023</v>
      </c>
      <c r="I8786" t="s">
        <v>8901</v>
      </c>
    </row>
    <row r="8787" spans="1:9" x14ac:dyDescent="0.3">
      <c r="A8787" t="s">
        <v>10150</v>
      </c>
      <c r="B8787" t="s">
        <v>42</v>
      </c>
      <c r="C8787">
        <v>7648876604</v>
      </c>
      <c r="D8787" s="2">
        <v>1</v>
      </c>
      <c r="E8787" t="str">
        <f>"4574674200949030"</f>
        <v>4574674200949030</v>
      </c>
      <c r="F8787" t="str">
        <f>"217"</f>
        <v>217</v>
      </c>
      <c r="G8787">
        <v>1</v>
      </c>
      <c r="H8787">
        <v>2023</v>
      </c>
      <c r="I8787" t="s">
        <v>8902</v>
      </c>
    </row>
    <row r="8788" spans="1:9" x14ac:dyDescent="0.3">
      <c r="A8788" t="s">
        <v>10150</v>
      </c>
      <c r="B8788" t="s">
        <v>42</v>
      </c>
      <c r="C8788">
        <v>7648876604</v>
      </c>
      <c r="D8788" s="2">
        <v>1</v>
      </c>
      <c r="E8788" t="str">
        <f>"4574674200949345"</f>
        <v>4574674200949345</v>
      </c>
      <c r="F8788" t="str">
        <f>"646"</f>
        <v>646</v>
      </c>
      <c r="G8788">
        <v>1</v>
      </c>
      <c r="H8788">
        <v>2023</v>
      </c>
      <c r="I8788" t="s">
        <v>8903</v>
      </c>
    </row>
    <row r="8789" spans="1:9" x14ac:dyDescent="0.3">
      <c r="A8789" t="s">
        <v>10150</v>
      </c>
      <c r="B8789" t="s">
        <v>42</v>
      </c>
      <c r="C8789">
        <v>7648876604</v>
      </c>
      <c r="D8789" s="2">
        <v>1</v>
      </c>
      <c r="E8789" t="str">
        <f>"4574674200949360"</f>
        <v>4574674200949360</v>
      </c>
      <c r="F8789" t="str">
        <f>"898"</f>
        <v>898</v>
      </c>
      <c r="G8789">
        <v>1</v>
      </c>
      <c r="H8789">
        <v>2023</v>
      </c>
      <c r="I8789" t="s">
        <v>8904</v>
      </c>
    </row>
    <row r="8790" spans="1:9" x14ac:dyDescent="0.3">
      <c r="A8790" t="s">
        <v>10150</v>
      </c>
      <c r="B8790" t="s">
        <v>42</v>
      </c>
      <c r="C8790">
        <v>7648876604</v>
      </c>
      <c r="D8790" s="2">
        <v>1</v>
      </c>
      <c r="E8790" t="str">
        <f>"4574674200949378"</f>
        <v>4574674200949378</v>
      </c>
      <c r="F8790" t="str">
        <f>"489"</f>
        <v>489</v>
      </c>
      <c r="G8790">
        <v>1</v>
      </c>
      <c r="H8790">
        <v>2023</v>
      </c>
      <c r="I8790" t="s">
        <v>8905</v>
      </c>
    </row>
    <row r="8791" spans="1:9" x14ac:dyDescent="0.3">
      <c r="A8791" t="s">
        <v>10150</v>
      </c>
      <c r="B8791" t="s">
        <v>42</v>
      </c>
      <c r="C8791">
        <v>7648876604</v>
      </c>
      <c r="D8791" s="2">
        <v>1</v>
      </c>
      <c r="E8791" t="str">
        <f>"4574674200949410"</f>
        <v>4574674200949410</v>
      </c>
      <c r="F8791" t="str">
        <f>"949"</f>
        <v>949</v>
      </c>
      <c r="G8791">
        <v>1</v>
      </c>
      <c r="H8791">
        <v>2023</v>
      </c>
      <c r="I8791" t="s">
        <v>8906</v>
      </c>
    </row>
    <row r="8792" spans="1:9" x14ac:dyDescent="0.3">
      <c r="A8792" t="s">
        <v>10150</v>
      </c>
      <c r="B8792" t="s">
        <v>42</v>
      </c>
      <c r="C8792">
        <v>7648876604</v>
      </c>
      <c r="D8792" s="2">
        <v>1</v>
      </c>
      <c r="E8792" t="str">
        <f>"4574674200949436"</f>
        <v>4574674200949436</v>
      </c>
      <c r="F8792" t="str">
        <f>"408"</f>
        <v>408</v>
      </c>
      <c r="G8792">
        <v>1</v>
      </c>
      <c r="H8792">
        <v>2023</v>
      </c>
      <c r="I8792" t="s">
        <v>8907</v>
      </c>
    </row>
    <row r="8793" spans="1:9" x14ac:dyDescent="0.3">
      <c r="A8793" t="s">
        <v>10150</v>
      </c>
      <c r="B8793" t="s">
        <v>42</v>
      </c>
      <c r="C8793">
        <v>7648876604</v>
      </c>
      <c r="D8793" s="2">
        <v>1</v>
      </c>
      <c r="E8793" t="str">
        <f>"4574674200949535"</f>
        <v>4574674200949535</v>
      </c>
      <c r="F8793" t="str">
        <f>"494"</f>
        <v>494</v>
      </c>
      <c r="G8793">
        <v>1</v>
      </c>
      <c r="H8793">
        <v>2023</v>
      </c>
      <c r="I8793" t="s">
        <v>8908</v>
      </c>
    </row>
    <row r="8794" spans="1:9" x14ac:dyDescent="0.3">
      <c r="A8794" t="s">
        <v>10150</v>
      </c>
      <c r="B8794" t="s">
        <v>42</v>
      </c>
      <c r="C8794">
        <v>7648876604</v>
      </c>
      <c r="D8794" s="2">
        <v>1</v>
      </c>
      <c r="E8794" t="str">
        <f>"4574674200949568"</f>
        <v>4574674200949568</v>
      </c>
      <c r="F8794" t="str">
        <f>"719"</f>
        <v>719</v>
      </c>
      <c r="G8794">
        <v>1</v>
      </c>
      <c r="H8794">
        <v>2023</v>
      </c>
      <c r="I8794" t="s">
        <v>8909</v>
      </c>
    </row>
    <row r="8795" spans="1:9" x14ac:dyDescent="0.3">
      <c r="A8795" t="s">
        <v>10150</v>
      </c>
      <c r="B8795" t="s">
        <v>42</v>
      </c>
      <c r="C8795">
        <v>7648876604</v>
      </c>
      <c r="D8795" s="2">
        <v>1</v>
      </c>
      <c r="E8795" t="str">
        <f>"4574674200949063"</f>
        <v>4574674200949063</v>
      </c>
      <c r="F8795" t="str">
        <f>"833"</f>
        <v>833</v>
      </c>
      <c r="G8795">
        <v>1</v>
      </c>
      <c r="H8795">
        <v>2023</v>
      </c>
      <c r="I8795" t="s">
        <v>8910</v>
      </c>
    </row>
    <row r="8796" spans="1:9" x14ac:dyDescent="0.3">
      <c r="A8796" t="s">
        <v>10151</v>
      </c>
      <c r="B8796" t="s">
        <v>43</v>
      </c>
      <c r="C8796">
        <v>7648876604</v>
      </c>
      <c r="D8796" s="2">
        <v>1</v>
      </c>
      <c r="E8796" t="str">
        <f>"4574674200949576"</f>
        <v>4574674200949576</v>
      </c>
      <c r="F8796" t="str">
        <f>"098"</f>
        <v>098</v>
      </c>
      <c r="G8796">
        <v>1</v>
      </c>
      <c r="H8796">
        <v>2023</v>
      </c>
      <c r="I8796" t="s">
        <v>8911</v>
      </c>
    </row>
    <row r="8797" spans="1:9" x14ac:dyDescent="0.3">
      <c r="A8797" t="s">
        <v>10151</v>
      </c>
      <c r="B8797" t="s">
        <v>43</v>
      </c>
      <c r="C8797">
        <v>7648876604</v>
      </c>
      <c r="D8797" s="2">
        <v>1</v>
      </c>
      <c r="E8797" t="str">
        <f>"4574674200949592"</f>
        <v>4574674200949592</v>
      </c>
      <c r="F8797" t="str">
        <f>"004"</f>
        <v>004</v>
      </c>
      <c r="G8797">
        <v>1</v>
      </c>
      <c r="H8797">
        <v>2023</v>
      </c>
      <c r="I8797" t="s">
        <v>8912</v>
      </c>
    </row>
    <row r="8798" spans="1:9" x14ac:dyDescent="0.3">
      <c r="A8798" t="s">
        <v>10151</v>
      </c>
      <c r="B8798" t="s">
        <v>43</v>
      </c>
      <c r="C8798">
        <v>7648876604</v>
      </c>
      <c r="D8798" s="2">
        <v>1</v>
      </c>
      <c r="E8798" t="str">
        <f>"4574674200949600"</f>
        <v>4574674200949600</v>
      </c>
      <c r="F8798" t="str">
        <f>"726"</f>
        <v>726</v>
      </c>
      <c r="G8798">
        <v>1</v>
      </c>
      <c r="H8798">
        <v>2023</v>
      </c>
      <c r="I8798" t="s">
        <v>8913</v>
      </c>
    </row>
    <row r="8799" spans="1:9" x14ac:dyDescent="0.3">
      <c r="A8799" t="s">
        <v>10151</v>
      </c>
      <c r="B8799" t="s">
        <v>43</v>
      </c>
      <c r="C8799">
        <v>7648876604</v>
      </c>
      <c r="D8799" s="2">
        <v>1</v>
      </c>
      <c r="E8799" t="str">
        <f>"4574674200949071"</f>
        <v>4574674200949071</v>
      </c>
      <c r="F8799" t="str">
        <f>"409"</f>
        <v>409</v>
      </c>
      <c r="G8799">
        <v>1</v>
      </c>
      <c r="H8799">
        <v>2023</v>
      </c>
      <c r="I8799" t="s">
        <v>8914</v>
      </c>
    </row>
    <row r="8800" spans="1:9" x14ac:dyDescent="0.3">
      <c r="A8800" t="s">
        <v>10151</v>
      </c>
      <c r="B8800" t="s">
        <v>43</v>
      </c>
      <c r="C8800">
        <v>7648876604</v>
      </c>
      <c r="D8800" s="2">
        <v>1</v>
      </c>
      <c r="E8800" t="str">
        <f>"4574674200949709"</f>
        <v>4574674200949709</v>
      </c>
      <c r="F8800" t="str">
        <f>"097"</f>
        <v>097</v>
      </c>
      <c r="G8800">
        <v>1</v>
      </c>
      <c r="H8800">
        <v>2023</v>
      </c>
      <c r="I8800" t="s">
        <v>8915</v>
      </c>
    </row>
    <row r="8801" spans="1:9" x14ac:dyDescent="0.3">
      <c r="A8801" t="s">
        <v>10151</v>
      </c>
      <c r="B8801" t="s">
        <v>43</v>
      </c>
      <c r="C8801">
        <v>7648876604</v>
      </c>
      <c r="D8801" s="2">
        <v>1</v>
      </c>
      <c r="E8801" t="str">
        <f>"4574674200949733"</f>
        <v>4574674200949733</v>
      </c>
      <c r="F8801" t="str">
        <f>"775"</f>
        <v>775</v>
      </c>
      <c r="G8801">
        <v>1</v>
      </c>
      <c r="H8801">
        <v>2023</v>
      </c>
      <c r="I8801" t="s">
        <v>8916</v>
      </c>
    </row>
    <row r="8802" spans="1:9" x14ac:dyDescent="0.3">
      <c r="A8802" t="s">
        <v>10151</v>
      </c>
      <c r="B8802" t="s">
        <v>43</v>
      </c>
      <c r="C8802">
        <v>7648876604</v>
      </c>
      <c r="D8802" s="2">
        <v>1</v>
      </c>
      <c r="E8802" t="str">
        <f>"4574674200949758"</f>
        <v>4574674200949758</v>
      </c>
      <c r="F8802" t="str">
        <f>"275"</f>
        <v>275</v>
      </c>
      <c r="G8802">
        <v>1</v>
      </c>
      <c r="H8802">
        <v>2023</v>
      </c>
      <c r="I8802" t="s">
        <v>8917</v>
      </c>
    </row>
    <row r="8803" spans="1:9" x14ac:dyDescent="0.3">
      <c r="A8803" t="s">
        <v>10151</v>
      </c>
      <c r="B8803" t="s">
        <v>43</v>
      </c>
      <c r="C8803">
        <v>7648876604</v>
      </c>
      <c r="D8803" s="2">
        <v>1</v>
      </c>
      <c r="E8803" t="str">
        <f>"4574674200949774"</f>
        <v>4574674200949774</v>
      </c>
      <c r="F8803" t="str">
        <f>"519"</f>
        <v>519</v>
      </c>
      <c r="G8803">
        <v>1</v>
      </c>
      <c r="H8803">
        <v>2023</v>
      </c>
      <c r="I8803" t="s">
        <v>8918</v>
      </c>
    </row>
    <row r="8804" spans="1:9" x14ac:dyDescent="0.3">
      <c r="A8804" t="s">
        <v>10151</v>
      </c>
      <c r="B8804" t="s">
        <v>43</v>
      </c>
      <c r="C8804">
        <v>7648876604</v>
      </c>
      <c r="D8804" s="2">
        <v>1</v>
      </c>
      <c r="E8804" t="str">
        <f>"4574674200949782"</f>
        <v>4574674200949782</v>
      </c>
      <c r="F8804" t="str">
        <f>"104"</f>
        <v>104</v>
      </c>
      <c r="G8804">
        <v>1</v>
      </c>
      <c r="H8804">
        <v>2023</v>
      </c>
      <c r="I8804" t="s">
        <v>8919</v>
      </c>
    </row>
    <row r="8805" spans="1:9" x14ac:dyDescent="0.3">
      <c r="A8805" t="s">
        <v>10151</v>
      </c>
      <c r="B8805" t="s">
        <v>43</v>
      </c>
      <c r="C8805">
        <v>7648876604</v>
      </c>
      <c r="D8805" s="2">
        <v>1</v>
      </c>
      <c r="E8805" t="str">
        <f>"4574674200949857"</f>
        <v>4574674200949857</v>
      </c>
      <c r="F8805" t="str">
        <f>"529"</f>
        <v>529</v>
      </c>
      <c r="G8805">
        <v>1</v>
      </c>
      <c r="H8805">
        <v>2023</v>
      </c>
      <c r="I8805" t="s">
        <v>8920</v>
      </c>
    </row>
    <row r="8806" spans="1:9" x14ac:dyDescent="0.3">
      <c r="A8806" t="s">
        <v>10152</v>
      </c>
      <c r="B8806" t="s">
        <v>44</v>
      </c>
      <c r="C8806">
        <v>7648876604</v>
      </c>
      <c r="D8806" s="2">
        <v>1</v>
      </c>
      <c r="E8806" t="str">
        <f>"4574674200949907"</f>
        <v>4574674200949907</v>
      </c>
      <c r="F8806" t="str">
        <f>"189"</f>
        <v>189</v>
      </c>
      <c r="G8806">
        <v>1</v>
      </c>
      <c r="H8806">
        <v>2023</v>
      </c>
      <c r="I8806" t="s">
        <v>8921</v>
      </c>
    </row>
    <row r="8807" spans="1:9" x14ac:dyDescent="0.3">
      <c r="A8807" t="s">
        <v>10152</v>
      </c>
      <c r="B8807" t="s">
        <v>44</v>
      </c>
      <c r="C8807">
        <v>7648876604</v>
      </c>
      <c r="D8807" s="2">
        <v>1</v>
      </c>
      <c r="E8807" t="str">
        <f>"4574674200949105"</f>
        <v>4574674200949105</v>
      </c>
      <c r="F8807" t="str">
        <f>"377"</f>
        <v>377</v>
      </c>
      <c r="G8807">
        <v>1</v>
      </c>
      <c r="H8807">
        <v>2023</v>
      </c>
      <c r="I8807" t="s">
        <v>8922</v>
      </c>
    </row>
    <row r="8808" spans="1:9" x14ac:dyDescent="0.3">
      <c r="A8808" t="s">
        <v>10152</v>
      </c>
      <c r="B8808" t="s">
        <v>44</v>
      </c>
      <c r="C8808">
        <v>7648876604</v>
      </c>
      <c r="D8808" s="2">
        <v>1</v>
      </c>
      <c r="E8808" t="str">
        <f>"4574674200949964"</f>
        <v>4574674200949964</v>
      </c>
      <c r="F8808" t="str">
        <f>"908"</f>
        <v>908</v>
      </c>
      <c r="G8808">
        <v>1</v>
      </c>
      <c r="H8808">
        <v>2023</v>
      </c>
      <c r="I8808" t="s">
        <v>8923</v>
      </c>
    </row>
    <row r="8809" spans="1:9" x14ac:dyDescent="0.3">
      <c r="A8809" t="s">
        <v>10152</v>
      </c>
      <c r="B8809" t="s">
        <v>44</v>
      </c>
      <c r="C8809">
        <v>7648876604</v>
      </c>
      <c r="D8809" s="2">
        <v>1</v>
      </c>
      <c r="E8809" t="str">
        <f>"4574674200949949"</f>
        <v>4574674200949949</v>
      </c>
      <c r="F8809" t="str">
        <f>"522"</f>
        <v>522</v>
      </c>
      <c r="G8809">
        <v>1</v>
      </c>
      <c r="H8809">
        <v>2023</v>
      </c>
      <c r="I8809" t="s">
        <v>8924</v>
      </c>
    </row>
    <row r="8810" spans="1:9" x14ac:dyDescent="0.3">
      <c r="A8810" t="s">
        <v>10152</v>
      </c>
      <c r="B8810" t="s">
        <v>44</v>
      </c>
      <c r="C8810">
        <v>7648876604</v>
      </c>
      <c r="D8810" s="2">
        <v>1</v>
      </c>
      <c r="E8810" t="str">
        <f>"4574674200949956"</f>
        <v>4574674200949956</v>
      </c>
      <c r="F8810" t="str">
        <f>"326"</f>
        <v>326</v>
      </c>
      <c r="G8810">
        <v>1</v>
      </c>
      <c r="H8810">
        <v>2023</v>
      </c>
      <c r="I8810" t="s">
        <v>8925</v>
      </c>
    </row>
    <row r="8811" spans="1:9" x14ac:dyDescent="0.3">
      <c r="A8811" t="s">
        <v>10152</v>
      </c>
      <c r="B8811" t="s">
        <v>44</v>
      </c>
      <c r="C8811">
        <v>7648876604</v>
      </c>
      <c r="D8811" s="2">
        <v>1</v>
      </c>
      <c r="E8811" t="str">
        <f>"4574674200949980"</f>
        <v>4574674200949980</v>
      </c>
      <c r="F8811" t="str">
        <f>"503"</f>
        <v>503</v>
      </c>
      <c r="G8811">
        <v>1</v>
      </c>
      <c r="H8811">
        <v>2023</v>
      </c>
      <c r="I8811" t="s">
        <v>8926</v>
      </c>
    </row>
    <row r="8812" spans="1:9" x14ac:dyDescent="0.3">
      <c r="A8812" t="s">
        <v>10152</v>
      </c>
      <c r="B8812" t="s">
        <v>44</v>
      </c>
      <c r="C8812">
        <v>7648876604</v>
      </c>
      <c r="D8812" s="2">
        <v>1</v>
      </c>
      <c r="E8812" t="str">
        <f>"4574674200950053"</f>
        <v>4574674200950053</v>
      </c>
      <c r="F8812" t="str">
        <f>"690"</f>
        <v>690</v>
      </c>
      <c r="G8812">
        <v>1</v>
      </c>
      <c r="H8812">
        <v>2023</v>
      </c>
      <c r="I8812" t="s">
        <v>8927</v>
      </c>
    </row>
    <row r="8813" spans="1:9" x14ac:dyDescent="0.3">
      <c r="A8813" t="s">
        <v>10152</v>
      </c>
      <c r="B8813" t="s">
        <v>44</v>
      </c>
      <c r="C8813">
        <v>7648876604</v>
      </c>
      <c r="D8813" s="2">
        <v>1</v>
      </c>
      <c r="E8813" t="str">
        <f>"4574674200949113"</f>
        <v>4574674200949113</v>
      </c>
      <c r="F8813" t="str">
        <f>"893"</f>
        <v>893</v>
      </c>
      <c r="G8813">
        <v>1</v>
      </c>
      <c r="H8813">
        <v>2023</v>
      </c>
      <c r="I8813" t="s">
        <v>8928</v>
      </c>
    </row>
    <row r="8814" spans="1:9" x14ac:dyDescent="0.3">
      <c r="A8814" t="s">
        <v>10152</v>
      </c>
      <c r="B8814" t="s">
        <v>44</v>
      </c>
      <c r="C8814">
        <v>7648876604</v>
      </c>
      <c r="D8814" s="2">
        <v>1</v>
      </c>
      <c r="E8814" t="str">
        <f>"4574674200950111"</f>
        <v>4574674200950111</v>
      </c>
      <c r="F8814" t="str">
        <f>"125"</f>
        <v>125</v>
      </c>
      <c r="G8814">
        <v>1</v>
      </c>
      <c r="H8814">
        <v>2023</v>
      </c>
      <c r="I8814" t="s">
        <v>8929</v>
      </c>
    </row>
    <row r="8815" spans="1:9" x14ac:dyDescent="0.3">
      <c r="A8815" t="s">
        <v>10152</v>
      </c>
      <c r="B8815" t="s">
        <v>44</v>
      </c>
      <c r="C8815">
        <v>7648876604</v>
      </c>
      <c r="D8815" s="2">
        <v>1</v>
      </c>
      <c r="E8815" t="str">
        <f>"4574674200950129"</f>
        <v>4574674200950129</v>
      </c>
      <c r="F8815" t="str">
        <f>"299"</f>
        <v>299</v>
      </c>
      <c r="G8815">
        <v>1</v>
      </c>
      <c r="H8815">
        <v>2023</v>
      </c>
      <c r="I8815" t="s">
        <v>8930</v>
      </c>
    </row>
    <row r="8816" spans="1:9" x14ac:dyDescent="0.3">
      <c r="A8816" t="s">
        <v>10162</v>
      </c>
      <c r="B8816" t="s">
        <v>54</v>
      </c>
      <c r="C8816">
        <v>8989697390</v>
      </c>
      <c r="D8816" s="2">
        <v>1</v>
      </c>
      <c r="E8816" t="str">
        <f>"4574674200950137"</f>
        <v>4574674200950137</v>
      </c>
      <c r="F8816" t="str">
        <f>"098"</f>
        <v>098</v>
      </c>
      <c r="G8816">
        <v>1</v>
      </c>
      <c r="H8816">
        <v>2023</v>
      </c>
      <c r="I8816" t="s">
        <v>8931</v>
      </c>
    </row>
    <row r="8817" spans="1:9" x14ac:dyDescent="0.3">
      <c r="A8817" t="s">
        <v>10162</v>
      </c>
      <c r="B8817" t="s">
        <v>54</v>
      </c>
      <c r="C8817">
        <v>8989697390</v>
      </c>
      <c r="D8817" s="2">
        <v>1</v>
      </c>
      <c r="E8817" t="str">
        <f>"4574674200950236"</f>
        <v>4574674200950236</v>
      </c>
      <c r="F8817" t="str">
        <f>"853"</f>
        <v>853</v>
      </c>
      <c r="G8817">
        <v>1</v>
      </c>
      <c r="H8817">
        <v>2023</v>
      </c>
      <c r="I8817" t="s">
        <v>8932</v>
      </c>
    </row>
    <row r="8818" spans="1:9" x14ac:dyDescent="0.3">
      <c r="A8818" t="s">
        <v>10162</v>
      </c>
      <c r="B8818" t="s">
        <v>54</v>
      </c>
      <c r="C8818">
        <v>8989697390</v>
      </c>
      <c r="D8818" s="2">
        <v>1</v>
      </c>
      <c r="E8818" t="str">
        <f>"4574674200950244"</f>
        <v>4574674200950244</v>
      </c>
      <c r="F8818" t="str">
        <f>"718"</f>
        <v>718</v>
      </c>
      <c r="G8818">
        <v>1</v>
      </c>
      <c r="H8818">
        <v>2023</v>
      </c>
      <c r="I8818" t="s">
        <v>8933</v>
      </c>
    </row>
    <row r="8819" spans="1:9" x14ac:dyDescent="0.3">
      <c r="A8819" t="s">
        <v>10162</v>
      </c>
      <c r="B8819" t="s">
        <v>54</v>
      </c>
      <c r="C8819">
        <v>8989697390</v>
      </c>
      <c r="D8819" s="2">
        <v>1</v>
      </c>
      <c r="E8819" t="str">
        <f>"4574674200949139"</f>
        <v>4574674200949139</v>
      </c>
      <c r="F8819" t="str">
        <f>"977"</f>
        <v>977</v>
      </c>
      <c r="G8819">
        <v>1</v>
      </c>
      <c r="H8819">
        <v>2023</v>
      </c>
      <c r="I8819" t="s">
        <v>8934</v>
      </c>
    </row>
    <row r="8820" spans="1:9" x14ac:dyDescent="0.3">
      <c r="A8820" t="s">
        <v>10162</v>
      </c>
      <c r="B8820" t="s">
        <v>54</v>
      </c>
      <c r="C8820">
        <v>8989697390</v>
      </c>
      <c r="D8820" s="2">
        <v>1</v>
      </c>
      <c r="E8820" t="str">
        <f>"4574674200950277"</f>
        <v>4574674200950277</v>
      </c>
      <c r="F8820" t="str">
        <f>"494"</f>
        <v>494</v>
      </c>
      <c r="G8820">
        <v>1</v>
      </c>
      <c r="H8820">
        <v>2023</v>
      </c>
      <c r="I8820" t="s">
        <v>8935</v>
      </c>
    </row>
    <row r="8821" spans="1:9" x14ac:dyDescent="0.3">
      <c r="A8821" t="s">
        <v>10162</v>
      </c>
      <c r="B8821" t="s">
        <v>54</v>
      </c>
      <c r="C8821">
        <v>8989697390</v>
      </c>
      <c r="D8821" s="2">
        <v>1</v>
      </c>
      <c r="E8821" t="str">
        <f>"4574674200950269"</f>
        <v>4574674200950269</v>
      </c>
      <c r="F8821" t="str">
        <f>"643"</f>
        <v>643</v>
      </c>
      <c r="G8821">
        <v>1</v>
      </c>
      <c r="H8821">
        <v>2023</v>
      </c>
      <c r="I8821" t="s">
        <v>8936</v>
      </c>
    </row>
    <row r="8822" spans="1:9" x14ac:dyDescent="0.3">
      <c r="A8822" t="s">
        <v>10162</v>
      </c>
      <c r="B8822" t="s">
        <v>54</v>
      </c>
      <c r="C8822">
        <v>8989697390</v>
      </c>
      <c r="D8822" s="2">
        <v>1</v>
      </c>
      <c r="E8822" t="str">
        <f>"4574674200950301"</f>
        <v>4574674200950301</v>
      </c>
      <c r="F8822" t="str">
        <f>"076"</f>
        <v>076</v>
      </c>
      <c r="G8822">
        <v>1</v>
      </c>
      <c r="H8822">
        <v>2023</v>
      </c>
      <c r="I8822" t="s">
        <v>8937</v>
      </c>
    </row>
    <row r="8823" spans="1:9" x14ac:dyDescent="0.3">
      <c r="A8823" t="s">
        <v>10162</v>
      </c>
      <c r="B8823" t="s">
        <v>54</v>
      </c>
      <c r="C8823">
        <v>8989697390</v>
      </c>
      <c r="D8823" s="2">
        <v>1</v>
      </c>
      <c r="E8823" t="str">
        <f>"4574674200950384"</f>
        <v>4574674200950384</v>
      </c>
      <c r="F8823" t="str">
        <f>"345"</f>
        <v>345</v>
      </c>
      <c r="G8823">
        <v>1</v>
      </c>
      <c r="H8823">
        <v>2023</v>
      </c>
      <c r="I8823" t="s">
        <v>8938</v>
      </c>
    </row>
    <row r="8824" spans="1:9" x14ac:dyDescent="0.3">
      <c r="A8824" t="s">
        <v>10162</v>
      </c>
      <c r="B8824" t="s">
        <v>54</v>
      </c>
      <c r="C8824">
        <v>8989697390</v>
      </c>
      <c r="D8824" s="2">
        <v>1</v>
      </c>
      <c r="E8824" t="str">
        <f>"4574674200950392"</f>
        <v>4574674200950392</v>
      </c>
      <c r="F8824" t="str">
        <f>"138"</f>
        <v>138</v>
      </c>
      <c r="G8824">
        <v>1</v>
      </c>
      <c r="H8824">
        <v>2023</v>
      </c>
      <c r="I8824" t="s">
        <v>8939</v>
      </c>
    </row>
    <row r="8825" spans="1:9" x14ac:dyDescent="0.3">
      <c r="A8825" t="s">
        <v>10162</v>
      </c>
      <c r="B8825" t="s">
        <v>54</v>
      </c>
      <c r="C8825">
        <v>8989697390</v>
      </c>
      <c r="D8825" s="2">
        <v>1</v>
      </c>
      <c r="E8825" t="str">
        <f>"4574674200949154"</f>
        <v>4574674200949154</v>
      </c>
      <c r="F8825" t="str">
        <f>"692"</f>
        <v>692</v>
      </c>
      <c r="G8825">
        <v>1</v>
      </c>
      <c r="H8825">
        <v>2023</v>
      </c>
      <c r="I8825" t="s">
        <v>8940</v>
      </c>
    </row>
    <row r="8826" spans="1:9" x14ac:dyDescent="0.3">
      <c r="A8826" t="s">
        <v>10140</v>
      </c>
      <c r="B8826" t="s">
        <v>55</v>
      </c>
      <c r="C8826">
        <v>8989697390</v>
      </c>
      <c r="D8826" s="2">
        <v>1</v>
      </c>
      <c r="E8826" t="str">
        <f>"4574674200950426"</f>
        <v>4574674200950426</v>
      </c>
      <c r="F8826" t="str">
        <f>"494"</f>
        <v>494</v>
      </c>
      <c r="G8826">
        <v>1</v>
      </c>
      <c r="H8826">
        <v>2023</v>
      </c>
      <c r="I8826" t="s">
        <v>8941</v>
      </c>
    </row>
    <row r="8827" spans="1:9" x14ac:dyDescent="0.3">
      <c r="A8827" t="s">
        <v>10140</v>
      </c>
      <c r="B8827" t="s">
        <v>55</v>
      </c>
      <c r="C8827">
        <v>8989697390</v>
      </c>
      <c r="D8827" s="2">
        <v>1</v>
      </c>
      <c r="E8827" t="str">
        <f>"4574674200950442"</f>
        <v>4574674200950442</v>
      </c>
      <c r="F8827" t="str">
        <f>"836"</f>
        <v>836</v>
      </c>
      <c r="G8827">
        <v>1</v>
      </c>
      <c r="H8827">
        <v>2023</v>
      </c>
      <c r="I8827" t="s">
        <v>8942</v>
      </c>
    </row>
    <row r="8828" spans="1:9" x14ac:dyDescent="0.3">
      <c r="A8828" t="s">
        <v>10140</v>
      </c>
      <c r="B8828" t="s">
        <v>55</v>
      </c>
      <c r="C8828">
        <v>8989697390</v>
      </c>
      <c r="D8828" s="2">
        <v>1</v>
      </c>
      <c r="E8828" t="str">
        <f>"4574674200950467"</f>
        <v>4574674200950467</v>
      </c>
      <c r="F8828" t="str">
        <f>"578"</f>
        <v>578</v>
      </c>
      <c r="G8828">
        <v>1</v>
      </c>
      <c r="H8828">
        <v>2023</v>
      </c>
      <c r="I8828" t="s">
        <v>8943</v>
      </c>
    </row>
    <row r="8829" spans="1:9" x14ac:dyDescent="0.3">
      <c r="A8829" t="s">
        <v>10140</v>
      </c>
      <c r="B8829" t="s">
        <v>55</v>
      </c>
      <c r="C8829">
        <v>8989697390</v>
      </c>
      <c r="D8829" s="2">
        <v>1</v>
      </c>
      <c r="E8829" t="str">
        <f>"4574674200950517"</f>
        <v>4574674200950517</v>
      </c>
      <c r="F8829" t="str">
        <f>"348"</f>
        <v>348</v>
      </c>
      <c r="G8829">
        <v>1</v>
      </c>
      <c r="H8829">
        <v>2023</v>
      </c>
      <c r="I8829" t="s">
        <v>8944</v>
      </c>
    </row>
    <row r="8830" spans="1:9" x14ac:dyDescent="0.3">
      <c r="A8830" t="s">
        <v>10140</v>
      </c>
      <c r="B8830" t="s">
        <v>55</v>
      </c>
      <c r="C8830">
        <v>8989697390</v>
      </c>
      <c r="D8830" s="2">
        <v>1</v>
      </c>
      <c r="E8830" t="str">
        <f>"4574674200950558"</f>
        <v>4574674200950558</v>
      </c>
      <c r="F8830" t="str">
        <f>"519"</f>
        <v>519</v>
      </c>
      <c r="G8830">
        <v>1</v>
      </c>
      <c r="H8830">
        <v>2023</v>
      </c>
      <c r="I8830" t="s">
        <v>8945</v>
      </c>
    </row>
    <row r="8831" spans="1:9" x14ac:dyDescent="0.3">
      <c r="A8831" t="s">
        <v>10140</v>
      </c>
      <c r="B8831" t="s">
        <v>55</v>
      </c>
      <c r="C8831">
        <v>8989697390</v>
      </c>
      <c r="D8831" s="2">
        <v>1</v>
      </c>
      <c r="E8831" t="str">
        <f>"4574674200949188"</f>
        <v>4574674200949188</v>
      </c>
      <c r="F8831" t="str">
        <f>"768"</f>
        <v>768</v>
      </c>
      <c r="G8831">
        <v>1</v>
      </c>
      <c r="H8831">
        <v>2023</v>
      </c>
      <c r="I8831" t="s">
        <v>8946</v>
      </c>
    </row>
    <row r="8832" spans="1:9" x14ac:dyDescent="0.3">
      <c r="A8832" t="s">
        <v>10140</v>
      </c>
      <c r="B8832" t="s">
        <v>55</v>
      </c>
      <c r="C8832">
        <v>8989697390</v>
      </c>
      <c r="D8832" s="2">
        <v>1</v>
      </c>
      <c r="E8832" t="str">
        <f>"4574674200950608"</f>
        <v>4574674200950608</v>
      </c>
      <c r="F8832" t="str">
        <f>"044"</f>
        <v>044</v>
      </c>
      <c r="G8832">
        <v>1</v>
      </c>
      <c r="H8832">
        <v>2023</v>
      </c>
      <c r="I8832" t="s">
        <v>8947</v>
      </c>
    </row>
    <row r="8833" spans="1:9" x14ac:dyDescent="0.3">
      <c r="A8833" t="s">
        <v>10140</v>
      </c>
      <c r="B8833" t="s">
        <v>55</v>
      </c>
      <c r="C8833">
        <v>8989697390</v>
      </c>
      <c r="D8833" s="2">
        <v>1</v>
      </c>
      <c r="E8833" t="str">
        <f>"4574674200950590"</f>
        <v>4574674200950590</v>
      </c>
      <c r="F8833" t="str">
        <f>"925"</f>
        <v>925</v>
      </c>
      <c r="G8833">
        <v>1</v>
      </c>
      <c r="H8833">
        <v>2023</v>
      </c>
      <c r="I8833" t="s">
        <v>8948</v>
      </c>
    </row>
    <row r="8834" spans="1:9" x14ac:dyDescent="0.3">
      <c r="A8834" t="s">
        <v>10140</v>
      </c>
      <c r="B8834" t="s">
        <v>55</v>
      </c>
      <c r="C8834">
        <v>8989697390</v>
      </c>
      <c r="D8834" s="2">
        <v>1</v>
      </c>
      <c r="E8834" t="str">
        <f>"4574674200950632"</f>
        <v>4574674200950632</v>
      </c>
      <c r="F8834" t="str">
        <f>"892"</f>
        <v>892</v>
      </c>
      <c r="G8834">
        <v>1</v>
      </c>
      <c r="H8834">
        <v>2023</v>
      </c>
      <c r="I8834" t="s">
        <v>8949</v>
      </c>
    </row>
    <row r="8835" spans="1:9" x14ac:dyDescent="0.3">
      <c r="A8835" t="s">
        <v>10140</v>
      </c>
      <c r="B8835" t="s">
        <v>55</v>
      </c>
      <c r="C8835">
        <v>8989697390</v>
      </c>
      <c r="D8835" s="2">
        <v>1</v>
      </c>
      <c r="E8835" t="str">
        <f>"4574674200949196"</f>
        <v>4574674200949196</v>
      </c>
      <c r="F8835" t="str">
        <f>"715"</f>
        <v>715</v>
      </c>
      <c r="G8835">
        <v>1</v>
      </c>
      <c r="H8835">
        <v>2023</v>
      </c>
      <c r="I8835" t="s">
        <v>8950</v>
      </c>
    </row>
    <row r="8836" spans="1:9" x14ac:dyDescent="0.3">
      <c r="A8836" t="s">
        <v>10133</v>
      </c>
      <c r="B8836" t="s">
        <v>56</v>
      </c>
      <c r="C8836">
        <v>8989697390</v>
      </c>
      <c r="D8836" s="2">
        <v>1</v>
      </c>
      <c r="E8836" t="str">
        <f>"4574674200950723"</f>
        <v>4574674200950723</v>
      </c>
      <c r="F8836" t="str">
        <f>"690"</f>
        <v>690</v>
      </c>
      <c r="G8836">
        <v>1</v>
      </c>
      <c r="H8836">
        <v>2023</v>
      </c>
      <c r="I8836" t="s">
        <v>8951</v>
      </c>
    </row>
    <row r="8837" spans="1:9" x14ac:dyDescent="0.3">
      <c r="A8837" t="s">
        <v>10133</v>
      </c>
      <c r="B8837" t="s">
        <v>56</v>
      </c>
      <c r="C8837">
        <v>8989697390</v>
      </c>
      <c r="D8837" s="2">
        <v>1</v>
      </c>
      <c r="E8837" t="str">
        <f>"4574674200950731"</f>
        <v>4574674200950731</v>
      </c>
      <c r="F8837" t="str">
        <f>"872"</f>
        <v>872</v>
      </c>
      <c r="G8837">
        <v>1</v>
      </c>
      <c r="H8837">
        <v>2023</v>
      </c>
      <c r="I8837" t="s">
        <v>8952</v>
      </c>
    </row>
    <row r="8838" spans="1:9" x14ac:dyDescent="0.3">
      <c r="A8838" t="s">
        <v>10133</v>
      </c>
      <c r="B8838" t="s">
        <v>56</v>
      </c>
      <c r="C8838">
        <v>8989697390</v>
      </c>
      <c r="D8838" s="2">
        <v>1</v>
      </c>
      <c r="E8838" t="str">
        <f>"4574674200950772"</f>
        <v>4574674200950772</v>
      </c>
      <c r="F8838" t="str">
        <f>"283"</f>
        <v>283</v>
      </c>
      <c r="G8838">
        <v>1</v>
      </c>
      <c r="H8838">
        <v>2023</v>
      </c>
      <c r="I8838" t="s">
        <v>8953</v>
      </c>
    </row>
    <row r="8839" spans="1:9" x14ac:dyDescent="0.3">
      <c r="A8839" t="s">
        <v>10133</v>
      </c>
      <c r="B8839" t="s">
        <v>56</v>
      </c>
      <c r="C8839">
        <v>8989697390</v>
      </c>
      <c r="D8839" s="2">
        <v>1</v>
      </c>
      <c r="E8839" t="str">
        <f>"4574674200950780"</f>
        <v>4574674200950780</v>
      </c>
      <c r="F8839" t="str">
        <f>"907"</f>
        <v>907</v>
      </c>
      <c r="G8839">
        <v>1</v>
      </c>
      <c r="H8839">
        <v>2023</v>
      </c>
      <c r="I8839" t="s">
        <v>8954</v>
      </c>
    </row>
    <row r="8840" spans="1:9" x14ac:dyDescent="0.3">
      <c r="A8840" t="s">
        <v>10133</v>
      </c>
      <c r="B8840" t="s">
        <v>56</v>
      </c>
      <c r="C8840">
        <v>8989697390</v>
      </c>
      <c r="D8840" s="2">
        <v>1</v>
      </c>
      <c r="E8840" t="str">
        <f>"4574674200950798"</f>
        <v>4574674200950798</v>
      </c>
      <c r="F8840" t="str">
        <f>"042"</f>
        <v>042</v>
      </c>
      <c r="G8840">
        <v>1</v>
      </c>
      <c r="H8840">
        <v>2023</v>
      </c>
      <c r="I8840" t="s">
        <v>8955</v>
      </c>
    </row>
    <row r="8841" spans="1:9" x14ac:dyDescent="0.3">
      <c r="A8841" t="s">
        <v>10133</v>
      </c>
      <c r="B8841" t="s">
        <v>56</v>
      </c>
      <c r="C8841">
        <v>8989697390</v>
      </c>
      <c r="D8841" s="2">
        <v>1</v>
      </c>
      <c r="E8841" t="str">
        <f>"4574674200950897"</f>
        <v>4574674200950897</v>
      </c>
      <c r="F8841" t="str">
        <f>"461"</f>
        <v>461</v>
      </c>
      <c r="G8841">
        <v>1</v>
      </c>
      <c r="H8841">
        <v>2023</v>
      </c>
      <c r="I8841" t="s">
        <v>8956</v>
      </c>
    </row>
    <row r="8842" spans="1:9" x14ac:dyDescent="0.3">
      <c r="A8842" t="s">
        <v>10133</v>
      </c>
      <c r="B8842" t="s">
        <v>56</v>
      </c>
      <c r="C8842">
        <v>8989697390</v>
      </c>
      <c r="D8842" s="2">
        <v>1</v>
      </c>
      <c r="E8842" t="str">
        <f>"4574674200950905"</f>
        <v>4574674200950905</v>
      </c>
      <c r="F8842" t="str">
        <f>"553"</f>
        <v>553</v>
      </c>
      <c r="G8842">
        <v>1</v>
      </c>
      <c r="H8842">
        <v>2023</v>
      </c>
      <c r="I8842" t="s">
        <v>8957</v>
      </c>
    </row>
    <row r="8843" spans="1:9" x14ac:dyDescent="0.3">
      <c r="A8843" t="s">
        <v>10133</v>
      </c>
      <c r="B8843" t="s">
        <v>56</v>
      </c>
      <c r="C8843">
        <v>8989697390</v>
      </c>
      <c r="D8843" s="2">
        <v>1</v>
      </c>
      <c r="E8843" t="str">
        <f>"4574674200950947"</f>
        <v>4574674200950947</v>
      </c>
      <c r="F8843" t="str">
        <f>"349"</f>
        <v>349</v>
      </c>
      <c r="G8843">
        <v>1</v>
      </c>
      <c r="H8843">
        <v>2023</v>
      </c>
      <c r="I8843" t="s">
        <v>8958</v>
      </c>
    </row>
    <row r="8844" spans="1:9" x14ac:dyDescent="0.3">
      <c r="A8844" t="s">
        <v>10133</v>
      </c>
      <c r="B8844" t="s">
        <v>56</v>
      </c>
      <c r="C8844">
        <v>8989697390</v>
      </c>
      <c r="D8844" s="2">
        <v>1</v>
      </c>
      <c r="E8844" t="str">
        <f>"4574674200950954"</f>
        <v>4574674200950954</v>
      </c>
      <c r="F8844" t="str">
        <f>"241"</f>
        <v>241</v>
      </c>
      <c r="G8844">
        <v>1</v>
      </c>
      <c r="H8844">
        <v>2023</v>
      </c>
      <c r="I8844" t="s">
        <v>8959</v>
      </c>
    </row>
    <row r="8845" spans="1:9" x14ac:dyDescent="0.3">
      <c r="A8845" t="s">
        <v>10133</v>
      </c>
      <c r="B8845" t="s">
        <v>56</v>
      </c>
      <c r="C8845">
        <v>8989697390</v>
      </c>
      <c r="D8845" s="2">
        <v>1</v>
      </c>
      <c r="E8845" t="str">
        <f>"4574674200950962"</f>
        <v>4574674200950962</v>
      </c>
      <c r="F8845" t="str">
        <f>"924"</f>
        <v>924</v>
      </c>
      <c r="G8845">
        <v>1</v>
      </c>
      <c r="H8845">
        <v>2023</v>
      </c>
      <c r="I8845" t="s">
        <v>8960</v>
      </c>
    </row>
    <row r="8846" spans="1:9" x14ac:dyDescent="0.3">
      <c r="A8846" t="s">
        <v>10163</v>
      </c>
      <c r="B8846" t="s">
        <v>57</v>
      </c>
      <c r="C8846">
        <v>8989697390</v>
      </c>
      <c r="D8846" s="2">
        <v>1</v>
      </c>
      <c r="E8846" t="str">
        <f>"4574674200951028"</f>
        <v>4574674200951028</v>
      </c>
      <c r="F8846" t="str">
        <f>"631"</f>
        <v>631</v>
      </c>
      <c r="G8846">
        <v>1</v>
      </c>
      <c r="H8846">
        <v>2023</v>
      </c>
      <c r="I8846" t="s">
        <v>8961</v>
      </c>
    </row>
    <row r="8847" spans="1:9" x14ac:dyDescent="0.3">
      <c r="A8847" t="s">
        <v>10163</v>
      </c>
      <c r="B8847" t="s">
        <v>57</v>
      </c>
      <c r="C8847">
        <v>8989697390</v>
      </c>
      <c r="D8847" s="2">
        <v>1</v>
      </c>
      <c r="E8847" t="str">
        <f>"4574674200951036"</f>
        <v>4574674200951036</v>
      </c>
      <c r="F8847" t="str">
        <f>"366"</f>
        <v>366</v>
      </c>
      <c r="G8847">
        <v>1</v>
      </c>
      <c r="H8847">
        <v>2023</v>
      </c>
      <c r="I8847" t="s">
        <v>8962</v>
      </c>
    </row>
    <row r="8848" spans="1:9" x14ac:dyDescent="0.3">
      <c r="A8848" t="s">
        <v>10163</v>
      </c>
      <c r="B8848" t="s">
        <v>57</v>
      </c>
      <c r="C8848">
        <v>8989697390</v>
      </c>
      <c r="D8848" s="2">
        <v>1</v>
      </c>
      <c r="E8848" t="str">
        <f>"4574674200951275"</f>
        <v>4574674200951275</v>
      </c>
      <c r="F8848" t="str">
        <f>"977"</f>
        <v>977</v>
      </c>
      <c r="G8848">
        <v>1</v>
      </c>
      <c r="H8848">
        <v>2023</v>
      </c>
      <c r="I8848" t="s">
        <v>8963</v>
      </c>
    </row>
    <row r="8849" spans="1:9" x14ac:dyDescent="0.3">
      <c r="A8849" t="s">
        <v>10163</v>
      </c>
      <c r="B8849" t="s">
        <v>57</v>
      </c>
      <c r="C8849">
        <v>8989697390</v>
      </c>
      <c r="D8849" s="2">
        <v>1</v>
      </c>
      <c r="E8849" t="str">
        <f>"4574674200951267"</f>
        <v>4574674200951267</v>
      </c>
      <c r="F8849" t="str">
        <f>"523"</f>
        <v>523</v>
      </c>
      <c r="G8849">
        <v>1</v>
      </c>
      <c r="H8849">
        <v>2023</v>
      </c>
      <c r="I8849" t="s">
        <v>8964</v>
      </c>
    </row>
    <row r="8850" spans="1:9" x14ac:dyDescent="0.3">
      <c r="A8850" t="s">
        <v>10163</v>
      </c>
      <c r="B8850" t="s">
        <v>57</v>
      </c>
      <c r="C8850">
        <v>8989697390</v>
      </c>
      <c r="D8850" s="2">
        <v>1</v>
      </c>
      <c r="E8850" t="str">
        <f>"4574674200951317"</f>
        <v>4574674200951317</v>
      </c>
      <c r="F8850" t="str">
        <f>"900"</f>
        <v>900</v>
      </c>
      <c r="G8850">
        <v>1</v>
      </c>
      <c r="H8850">
        <v>2023</v>
      </c>
      <c r="I8850" t="s">
        <v>8965</v>
      </c>
    </row>
    <row r="8851" spans="1:9" x14ac:dyDescent="0.3">
      <c r="A8851" t="s">
        <v>10163</v>
      </c>
      <c r="B8851" t="s">
        <v>57</v>
      </c>
      <c r="C8851">
        <v>8989697390</v>
      </c>
      <c r="D8851" s="2">
        <v>1</v>
      </c>
      <c r="E8851" t="str">
        <f>"4574674200951333"</f>
        <v>4574674200951333</v>
      </c>
      <c r="F8851" t="str">
        <f>"317"</f>
        <v>317</v>
      </c>
      <c r="G8851">
        <v>1</v>
      </c>
      <c r="H8851">
        <v>2023</v>
      </c>
      <c r="I8851" t="s">
        <v>8966</v>
      </c>
    </row>
    <row r="8852" spans="1:9" x14ac:dyDescent="0.3">
      <c r="A8852" t="s">
        <v>10163</v>
      </c>
      <c r="B8852" t="s">
        <v>57</v>
      </c>
      <c r="C8852">
        <v>8989697390</v>
      </c>
      <c r="D8852" s="2">
        <v>1</v>
      </c>
      <c r="E8852" t="str">
        <f>"4574674200951358"</f>
        <v>4574674200951358</v>
      </c>
      <c r="F8852" t="str">
        <f>"811"</f>
        <v>811</v>
      </c>
      <c r="G8852">
        <v>1</v>
      </c>
      <c r="H8852">
        <v>2023</v>
      </c>
      <c r="I8852" t="s">
        <v>8967</v>
      </c>
    </row>
    <row r="8853" spans="1:9" x14ac:dyDescent="0.3">
      <c r="A8853" t="s">
        <v>10163</v>
      </c>
      <c r="B8853" t="s">
        <v>57</v>
      </c>
      <c r="C8853">
        <v>8989697390</v>
      </c>
      <c r="D8853" s="2">
        <v>1</v>
      </c>
      <c r="E8853" t="str">
        <f>"4574674200951440"</f>
        <v>4574674200951440</v>
      </c>
      <c r="F8853" t="str">
        <f>"352"</f>
        <v>352</v>
      </c>
      <c r="G8853">
        <v>1</v>
      </c>
      <c r="H8853">
        <v>2023</v>
      </c>
      <c r="I8853" t="s">
        <v>8968</v>
      </c>
    </row>
    <row r="8854" spans="1:9" x14ac:dyDescent="0.3">
      <c r="A8854" t="s">
        <v>10163</v>
      </c>
      <c r="B8854" t="s">
        <v>57</v>
      </c>
      <c r="C8854">
        <v>8989697390</v>
      </c>
      <c r="D8854" s="2">
        <v>1</v>
      </c>
      <c r="E8854" t="str">
        <f>"4574674200951432"</f>
        <v>4574674200951432</v>
      </c>
      <c r="F8854" t="str">
        <f>"511"</f>
        <v>511</v>
      </c>
      <c r="G8854">
        <v>1</v>
      </c>
      <c r="H8854">
        <v>2023</v>
      </c>
      <c r="I8854" t="s">
        <v>8969</v>
      </c>
    </row>
    <row r="8855" spans="1:9" x14ac:dyDescent="0.3">
      <c r="A8855" t="s">
        <v>10163</v>
      </c>
      <c r="B8855" t="s">
        <v>57</v>
      </c>
      <c r="C8855">
        <v>8989697390</v>
      </c>
      <c r="D8855" s="2">
        <v>1</v>
      </c>
      <c r="E8855" t="str">
        <f>"4574674200951515"</f>
        <v>4574674200951515</v>
      </c>
      <c r="F8855" t="str">
        <f>"503"</f>
        <v>503</v>
      </c>
      <c r="G8855">
        <v>1</v>
      </c>
      <c r="H8855">
        <v>2023</v>
      </c>
      <c r="I8855" t="s">
        <v>8970</v>
      </c>
    </row>
    <row r="8856" spans="1:9" x14ac:dyDescent="0.3">
      <c r="A8856" t="s">
        <v>10164</v>
      </c>
      <c r="B8856" t="s">
        <v>58</v>
      </c>
      <c r="C8856">
        <v>8989697390</v>
      </c>
      <c r="D8856" s="2">
        <v>1</v>
      </c>
      <c r="E8856" t="str">
        <f>"4574674200951507"</f>
        <v>4574674200951507</v>
      </c>
      <c r="F8856" t="str">
        <f>"173"</f>
        <v>173</v>
      </c>
      <c r="G8856">
        <v>1</v>
      </c>
      <c r="H8856">
        <v>2023</v>
      </c>
      <c r="I8856" t="s">
        <v>8971</v>
      </c>
    </row>
    <row r="8857" spans="1:9" x14ac:dyDescent="0.3">
      <c r="A8857" t="s">
        <v>10164</v>
      </c>
      <c r="B8857" t="s">
        <v>58</v>
      </c>
      <c r="C8857">
        <v>8989697390</v>
      </c>
      <c r="D8857" s="2">
        <v>1</v>
      </c>
      <c r="E8857" t="str">
        <f>"4574674200951523"</f>
        <v>4574674200951523</v>
      </c>
      <c r="F8857" t="str">
        <f>"500"</f>
        <v>500</v>
      </c>
      <c r="G8857">
        <v>1</v>
      </c>
      <c r="H8857">
        <v>2023</v>
      </c>
      <c r="I8857" t="s">
        <v>8972</v>
      </c>
    </row>
    <row r="8858" spans="1:9" x14ac:dyDescent="0.3">
      <c r="A8858" t="s">
        <v>10164</v>
      </c>
      <c r="B8858" t="s">
        <v>58</v>
      </c>
      <c r="C8858">
        <v>8989697390</v>
      </c>
      <c r="D8858" s="2">
        <v>1</v>
      </c>
      <c r="E8858" t="str">
        <f>"4574674200951051"</f>
        <v>4574674200951051</v>
      </c>
      <c r="F8858" t="str">
        <f>"402"</f>
        <v>402</v>
      </c>
      <c r="G8858">
        <v>1</v>
      </c>
      <c r="H8858">
        <v>2023</v>
      </c>
      <c r="I8858" t="s">
        <v>8973</v>
      </c>
    </row>
    <row r="8859" spans="1:9" x14ac:dyDescent="0.3">
      <c r="A8859" t="s">
        <v>10164</v>
      </c>
      <c r="B8859" t="s">
        <v>58</v>
      </c>
      <c r="C8859">
        <v>8989697390</v>
      </c>
      <c r="D8859" s="2">
        <v>1</v>
      </c>
      <c r="E8859" t="str">
        <f>"4574674200951598"</f>
        <v>4574674200951598</v>
      </c>
      <c r="F8859" t="str">
        <f>"062"</f>
        <v>062</v>
      </c>
      <c r="G8859">
        <v>1</v>
      </c>
      <c r="H8859">
        <v>2023</v>
      </c>
      <c r="I8859" t="s">
        <v>8974</v>
      </c>
    </row>
    <row r="8860" spans="1:9" x14ac:dyDescent="0.3">
      <c r="A8860" t="s">
        <v>10164</v>
      </c>
      <c r="B8860" t="s">
        <v>58</v>
      </c>
      <c r="C8860">
        <v>8989697390</v>
      </c>
      <c r="D8860" s="2">
        <v>1</v>
      </c>
      <c r="E8860" t="str">
        <f>"4574674200951614"</f>
        <v>4574674200951614</v>
      </c>
      <c r="F8860" t="str">
        <f>"978"</f>
        <v>978</v>
      </c>
      <c r="G8860">
        <v>1</v>
      </c>
      <c r="H8860">
        <v>2023</v>
      </c>
      <c r="I8860" t="s">
        <v>8975</v>
      </c>
    </row>
    <row r="8861" spans="1:9" x14ac:dyDescent="0.3">
      <c r="A8861" t="s">
        <v>10164</v>
      </c>
      <c r="B8861" t="s">
        <v>58</v>
      </c>
      <c r="C8861">
        <v>8989697390</v>
      </c>
      <c r="D8861" s="2">
        <v>1</v>
      </c>
      <c r="E8861" t="str">
        <f>"4574674200951663"</f>
        <v>4574674200951663</v>
      </c>
      <c r="F8861" t="str">
        <f>"527"</f>
        <v>527</v>
      </c>
      <c r="G8861">
        <v>1</v>
      </c>
      <c r="H8861">
        <v>2023</v>
      </c>
      <c r="I8861" t="s">
        <v>8976</v>
      </c>
    </row>
    <row r="8862" spans="1:9" x14ac:dyDescent="0.3">
      <c r="A8862" t="s">
        <v>10164</v>
      </c>
      <c r="B8862" t="s">
        <v>58</v>
      </c>
      <c r="C8862">
        <v>8989697390</v>
      </c>
      <c r="D8862" s="2">
        <v>1</v>
      </c>
      <c r="E8862" t="str">
        <f>"4574674200951689"</f>
        <v>4574674200951689</v>
      </c>
      <c r="F8862" t="str">
        <f>"131"</f>
        <v>131</v>
      </c>
      <c r="G8862">
        <v>1</v>
      </c>
      <c r="H8862">
        <v>2023</v>
      </c>
      <c r="I8862" t="s">
        <v>8977</v>
      </c>
    </row>
    <row r="8863" spans="1:9" x14ac:dyDescent="0.3">
      <c r="A8863" t="s">
        <v>10164</v>
      </c>
      <c r="B8863" t="s">
        <v>58</v>
      </c>
      <c r="C8863">
        <v>8989697390</v>
      </c>
      <c r="D8863" s="2">
        <v>1</v>
      </c>
      <c r="E8863" t="str">
        <f>"4574674200951705"</f>
        <v>4574674200951705</v>
      </c>
      <c r="F8863" t="str">
        <f>"180"</f>
        <v>180</v>
      </c>
      <c r="G8863">
        <v>1</v>
      </c>
      <c r="H8863">
        <v>2023</v>
      </c>
      <c r="I8863" t="s">
        <v>8978</v>
      </c>
    </row>
    <row r="8864" spans="1:9" x14ac:dyDescent="0.3">
      <c r="A8864" t="s">
        <v>10164</v>
      </c>
      <c r="B8864" t="s">
        <v>58</v>
      </c>
      <c r="C8864">
        <v>8989697390</v>
      </c>
      <c r="D8864" s="2">
        <v>1</v>
      </c>
      <c r="E8864" t="str">
        <f>"4574674200951077"</f>
        <v>4574674200951077</v>
      </c>
      <c r="F8864" t="str">
        <f>"904"</f>
        <v>904</v>
      </c>
      <c r="G8864">
        <v>1</v>
      </c>
      <c r="H8864">
        <v>2023</v>
      </c>
      <c r="I8864" t="s">
        <v>8979</v>
      </c>
    </row>
    <row r="8865" spans="1:9" x14ac:dyDescent="0.3">
      <c r="A8865" t="s">
        <v>10164</v>
      </c>
      <c r="B8865" t="s">
        <v>58</v>
      </c>
      <c r="C8865">
        <v>8989697390</v>
      </c>
      <c r="D8865" s="2">
        <v>1</v>
      </c>
      <c r="E8865" t="str">
        <f>"4574674200951770"</f>
        <v>4574674200951770</v>
      </c>
      <c r="F8865" t="str">
        <f>"352"</f>
        <v>352</v>
      </c>
      <c r="G8865">
        <v>1</v>
      </c>
      <c r="H8865">
        <v>2023</v>
      </c>
      <c r="I8865" t="s">
        <v>8980</v>
      </c>
    </row>
    <row r="8866" spans="1:9" x14ac:dyDescent="0.3">
      <c r="A8866" t="s">
        <v>10165</v>
      </c>
      <c r="B8866" t="s">
        <v>59</v>
      </c>
      <c r="C8866">
        <v>8989697390</v>
      </c>
      <c r="D8866" s="2">
        <v>1</v>
      </c>
      <c r="E8866" t="str">
        <f>"4574674200951796"</f>
        <v>4574674200951796</v>
      </c>
      <c r="F8866" t="str">
        <f>"308"</f>
        <v>308</v>
      </c>
      <c r="G8866">
        <v>1</v>
      </c>
      <c r="H8866">
        <v>2023</v>
      </c>
      <c r="I8866" t="s">
        <v>8981</v>
      </c>
    </row>
    <row r="8867" spans="1:9" x14ac:dyDescent="0.3">
      <c r="A8867" t="s">
        <v>10165</v>
      </c>
      <c r="B8867" t="s">
        <v>59</v>
      </c>
      <c r="C8867">
        <v>8989697390</v>
      </c>
      <c r="D8867" s="2">
        <v>1</v>
      </c>
      <c r="E8867" t="str">
        <f>"4574674200951838"</f>
        <v>4574674200951838</v>
      </c>
      <c r="F8867" t="str">
        <f>"511"</f>
        <v>511</v>
      </c>
      <c r="G8867">
        <v>1</v>
      </c>
      <c r="H8867">
        <v>2023</v>
      </c>
      <c r="I8867" t="s">
        <v>8982</v>
      </c>
    </row>
    <row r="8868" spans="1:9" x14ac:dyDescent="0.3">
      <c r="A8868" t="s">
        <v>10165</v>
      </c>
      <c r="B8868" t="s">
        <v>59</v>
      </c>
      <c r="C8868">
        <v>8989697390</v>
      </c>
      <c r="D8868" s="2">
        <v>1</v>
      </c>
      <c r="E8868" t="str">
        <f>"4574674200951846"</f>
        <v>4574674200951846</v>
      </c>
      <c r="F8868" t="str">
        <f>"437"</f>
        <v>437</v>
      </c>
      <c r="G8868">
        <v>1</v>
      </c>
      <c r="H8868">
        <v>2023</v>
      </c>
      <c r="I8868" t="s">
        <v>8983</v>
      </c>
    </row>
    <row r="8869" spans="1:9" x14ac:dyDescent="0.3">
      <c r="A8869" t="s">
        <v>10165</v>
      </c>
      <c r="B8869" t="s">
        <v>59</v>
      </c>
      <c r="C8869">
        <v>8989697390</v>
      </c>
      <c r="D8869" s="2">
        <v>1</v>
      </c>
      <c r="E8869" t="str">
        <f>"4574674200951903"</f>
        <v>4574674200951903</v>
      </c>
      <c r="F8869" t="str">
        <f>"490"</f>
        <v>490</v>
      </c>
      <c r="G8869">
        <v>1</v>
      </c>
      <c r="H8869">
        <v>2023</v>
      </c>
      <c r="I8869" t="s">
        <v>8984</v>
      </c>
    </row>
    <row r="8870" spans="1:9" x14ac:dyDescent="0.3">
      <c r="A8870" t="s">
        <v>10165</v>
      </c>
      <c r="B8870" t="s">
        <v>59</v>
      </c>
      <c r="C8870">
        <v>8989697390</v>
      </c>
      <c r="D8870" s="2">
        <v>1</v>
      </c>
      <c r="E8870" t="str">
        <f>"4574674200951937"</f>
        <v>4574674200951937</v>
      </c>
      <c r="F8870" t="str">
        <f>"531"</f>
        <v>531</v>
      </c>
      <c r="G8870">
        <v>1</v>
      </c>
      <c r="H8870">
        <v>2023</v>
      </c>
      <c r="I8870" t="s">
        <v>8985</v>
      </c>
    </row>
    <row r="8871" spans="1:9" x14ac:dyDescent="0.3">
      <c r="A8871" t="s">
        <v>10165</v>
      </c>
      <c r="B8871" t="s">
        <v>59</v>
      </c>
      <c r="C8871">
        <v>8989697390</v>
      </c>
      <c r="D8871" s="2">
        <v>1</v>
      </c>
      <c r="E8871" t="str">
        <f>"4574674200952018"</f>
        <v>4574674200952018</v>
      </c>
      <c r="F8871" t="str">
        <f>"422"</f>
        <v>422</v>
      </c>
      <c r="G8871">
        <v>1</v>
      </c>
      <c r="H8871">
        <v>2023</v>
      </c>
      <c r="I8871" t="s">
        <v>8986</v>
      </c>
    </row>
    <row r="8872" spans="1:9" x14ac:dyDescent="0.3">
      <c r="A8872" t="s">
        <v>10165</v>
      </c>
      <c r="B8872" t="s">
        <v>59</v>
      </c>
      <c r="C8872">
        <v>8989697390</v>
      </c>
      <c r="D8872" s="2">
        <v>1</v>
      </c>
      <c r="E8872" t="str">
        <f>"4574674200953164"</f>
        <v>4574674200953164</v>
      </c>
      <c r="F8872" t="str">
        <f>"591"</f>
        <v>591</v>
      </c>
      <c r="G8872">
        <v>1</v>
      </c>
      <c r="H8872">
        <v>2023</v>
      </c>
      <c r="I8872" t="s">
        <v>8987</v>
      </c>
    </row>
    <row r="8873" spans="1:9" x14ac:dyDescent="0.3">
      <c r="A8873" t="s">
        <v>10165</v>
      </c>
      <c r="B8873" t="s">
        <v>59</v>
      </c>
      <c r="C8873">
        <v>8989697390</v>
      </c>
      <c r="D8873" s="2">
        <v>1</v>
      </c>
      <c r="E8873" t="str">
        <f>"4574674200954642"</f>
        <v>4574674200954642</v>
      </c>
      <c r="F8873" t="str">
        <f>"710"</f>
        <v>710</v>
      </c>
      <c r="G8873">
        <v>1</v>
      </c>
      <c r="H8873">
        <v>2023</v>
      </c>
      <c r="I8873" t="s">
        <v>8988</v>
      </c>
    </row>
    <row r="8874" spans="1:9" x14ac:dyDescent="0.3">
      <c r="A8874" t="s">
        <v>10165</v>
      </c>
      <c r="B8874" t="s">
        <v>59</v>
      </c>
      <c r="C8874">
        <v>8989697390</v>
      </c>
      <c r="D8874" s="2">
        <v>1</v>
      </c>
      <c r="E8874" t="str">
        <f>"4574674200953180"</f>
        <v>4574674200953180</v>
      </c>
      <c r="F8874" t="str">
        <f>"002"</f>
        <v>002</v>
      </c>
      <c r="G8874">
        <v>1</v>
      </c>
      <c r="H8874">
        <v>2023</v>
      </c>
      <c r="I8874" t="s">
        <v>8989</v>
      </c>
    </row>
    <row r="8875" spans="1:9" x14ac:dyDescent="0.3">
      <c r="A8875" t="s">
        <v>10165</v>
      </c>
      <c r="B8875" t="s">
        <v>59</v>
      </c>
      <c r="C8875">
        <v>8989697390</v>
      </c>
      <c r="D8875" s="2">
        <v>1</v>
      </c>
      <c r="E8875" t="str">
        <f>"4574674200954766"</f>
        <v>4574674200954766</v>
      </c>
      <c r="F8875" t="str">
        <f>"917"</f>
        <v>917</v>
      </c>
      <c r="G8875">
        <v>1</v>
      </c>
      <c r="H8875">
        <v>2023</v>
      </c>
      <c r="I8875" t="s">
        <v>8990</v>
      </c>
    </row>
    <row r="8876" spans="1:9" x14ac:dyDescent="0.3">
      <c r="A8876" t="s">
        <v>10166</v>
      </c>
      <c r="B8876" t="s">
        <v>60</v>
      </c>
      <c r="C8876">
        <v>8989697390</v>
      </c>
      <c r="D8876" s="2">
        <v>1</v>
      </c>
      <c r="E8876" t="str">
        <f>"4574674200954865"</f>
        <v>4574674200954865</v>
      </c>
      <c r="F8876" t="str">
        <f>"736"</f>
        <v>736</v>
      </c>
      <c r="G8876">
        <v>1</v>
      </c>
      <c r="H8876">
        <v>2023</v>
      </c>
      <c r="I8876" t="s">
        <v>8991</v>
      </c>
    </row>
    <row r="8877" spans="1:9" x14ac:dyDescent="0.3">
      <c r="A8877" t="s">
        <v>10166</v>
      </c>
      <c r="B8877" t="s">
        <v>60</v>
      </c>
      <c r="C8877">
        <v>8989697390</v>
      </c>
      <c r="D8877" s="2">
        <v>1</v>
      </c>
      <c r="E8877" t="str">
        <f>"4574674200954915"</f>
        <v>4574674200954915</v>
      </c>
      <c r="F8877" t="str">
        <f>"937"</f>
        <v>937</v>
      </c>
      <c r="G8877">
        <v>1</v>
      </c>
      <c r="H8877">
        <v>2023</v>
      </c>
      <c r="I8877" t="s">
        <v>8992</v>
      </c>
    </row>
    <row r="8878" spans="1:9" x14ac:dyDescent="0.3">
      <c r="A8878" t="s">
        <v>10166</v>
      </c>
      <c r="B8878" t="s">
        <v>60</v>
      </c>
      <c r="C8878">
        <v>8989697390</v>
      </c>
      <c r="D8878" s="2">
        <v>1</v>
      </c>
      <c r="E8878" t="str">
        <f>"4574674200955003"</f>
        <v>4574674200955003</v>
      </c>
      <c r="F8878" t="str">
        <f>"863"</f>
        <v>863</v>
      </c>
      <c r="G8878">
        <v>1</v>
      </c>
      <c r="H8878">
        <v>2023</v>
      </c>
      <c r="I8878" t="s">
        <v>8993</v>
      </c>
    </row>
    <row r="8879" spans="1:9" x14ac:dyDescent="0.3">
      <c r="A8879" t="s">
        <v>10166</v>
      </c>
      <c r="B8879" t="s">
        <v>60</v>
      </c>
      <c r="C8879">
        <v>8989697390</v>
      </c>
      <c r="D8879" s="2">
        <v>1</v>
      </c>
      <c r="E8879" t="str">
        <f>"4574674200955011"</f>
        <v>4574674200955011</v>
      </c>
      <c r="F8879" t="str">
        <f>"029"</f>
        <v>029</v>
      </c>
      <c r="G8879">
        <v>1</v>
      </c>
      <c r="H8879">
        <v>2023</v>
      </c>
      <c r="I8879" t="s">
        <v>8994</v>
      </c>
    </row>
    <row r="8880" spans="1:9" x14ac:dyDescent="0.3">
      <c r="A8880" t="s">
        <v>10166</v>
      </c>
      <c r="B8880" t="s">
        <v>60</v>
      </c>
      <c r="C8880">
        <v>8989697390</v>
      </c>
      <c r="D8880" s="2">
        <v>1</v>
      </c>
      <c r="E8880" t="str">
        <f>"4574674200955268"</f>
        <v>4574674200955268</v>
      </c>
      <c r="F8880" t="str">
        <f>"283"</f>
        <v>283</v>
      </c>
      <c r="G8880">
        <v>1</v>
      </c>
      <c r="H8880">
        <v>2023</v>
      </c>
      <c r="I8880" t="s">
        <v>8995</v>
      </c>
    </row>
    <row r="8881" spans="1:9" x14ac:dyDescent="0.3">
      <c r="A8881" t="s">
        <v>10166</v>
      </c>
      <c r="B8881" t="s">
        <v>60</v>
      </c>
      <c r="C8881">
        <v>8989697390</v>
      </c>
      <c r="D8881" s="2">
        <v>1</v>
      </c>
      <c r="E8881" t="str">
        <f>"4574674200955276"</f>
        <v>4574674200955276</v>
      </c>
      <c r="F8881" t="str">
        <f>"026"</f>
        <v>026</v>
      </c>
      <c r="G8881">
        <v>1</v>
      </c>
      <c r="H8881">
        <v>2023</v>
      </c>
      <c r="I8881" t="s">
        <v>8996</v>
      </c>
    </row>
    <row r="8882" spans="1:9" x14ac:dyDescent="0.3">
      <c r="A8882" t="s">
        <v>10166</v>
      </c>
      <c r="B8882" t="s">
        <v>60</v>
      </c>
      <c r="C8882">
        <v>8989697390</v>
      </c>
      <c r="D8882" s="2">
        <v>1</v>
      </c>
      <c r="E8882" t="str">
        <f>"4574674200955029"</f>
        <v>4574674200955029</v>
      </c>
      <c r="F8882" t="str">
        <f>"581"</f>
        <v>581</v>
      </c>
      <c r="G8882">
        <v>1</v>
      </c>
      <c r="H8882">
        <v>2023</v>
      </c>
      <c r="I8882" t="s">
        <v>8997</v>
      </c>
    </row>
    <row r="8883" spans="1:9" x14ac:dyDescent="0.3">
      <c r="A8883" t="s">
        <v>10166</v>
      </c>
      <c r="B8883" t="s">
        <v>60</v>
      </c>
      <c r="C8883">
        <v>8989697390</v>
      </c>
      <c r="D8883" s="2">
        <v>1</v>
      </c>
      <c r="E8883" t="str">
        <f>"4574674200955409"</f>
        <v>4574674200955409</v>
      </c>
      <c r="F8883" t="str">
        <f>"256"</f>
        <v>256</v>
      </c>
      <c r="G8883">
        <v>1</v>
      </c>
      <c r="H8883">
        <v>2023</v>
      </c>
      <c r="I8883" t="s">
        <v>8998</v>
      </c>
    </row>
    <row r="8884" spans="1:9" x14ac:dyDescent="0.3">
      <c r="A8884" t="s">
        <v>10166</v>
      </c>
      <c r="B8884" t="s">
        <v>60</v>
      </c>
      <c r="C8884">
        <v>8989697390</v>
      </c>
      <c r="D8884" s="2">
        <v>1</v>
      </c>
      <c r="E8884" t="str">
        <f>"4574674200955391"</f>
        <v>4574674200955391</v>
      </c>
      <c r="F8884" t="str">
        <f>"780"</f>
        <v>780</v>
      </c>
      <c r="G8884">
        <v>1</v>
      </c>
      <c r="H8884">
        <v>2023</v>
      </c>
      <c r="I8884" t="s">
        <v>8999</v>
      </c>
    </row>
    <row r="8885" spans="1:9" x14ac:dyDescent="0.3">
      <c r="A8885" t="s">
        <v>10166</v>
      </c>
      <c r="B8885" t="s">
        <v>60</v>
      </c>
      <c r="C8885">
        <v>8989697390</v>
      </c>
      <c r="D8885" s="2">
        <v>1</v>
      </c>
      <c r="E8885" t="str">
        <f>"4574674200955433"</f>
        <v>4574674200955433</v>
      </c>
      <c r="F8885" t="str">
        <f>"463"</f>
        <v>463</v>
      </c>
      <c r="G8885">
        <v>1</v>
      </c>
      <c r="H8885">
        <v>2023</v>
      </c>
      <c r="I8885" t="s">
        <v>9000</v>
      </c>
    </row>
    <row r="8886" spans="1:9" x14ac:dyDescent="0.3">
      <c r="A8886" t="s">
        <v>10146</v>
      </c>
      <c r="B8886" t="s">
        <v>61</v>
      </c>
      <c r="C8886">
        <v>8989697390</v>
      </c>
      <c r="D8886" s="2">
        <v>1</v>
      </c>
      <c r="E8886" t="str">
        <f>"4574674200955458"</f>
        <v>4574674200955458</v>
      </c>
      <c r="F8886" t="str">
        <f>"038"</f>
        <v>038</v>
      </c>
      <c r="G8886">
        <v>1</v>
      </c>
      <c r="H8886">
        <v>2023</v>
      </c>
      <c r="I8886" t="s">
        <v>9001</v>
      </c>
    </row>
    <row r="8887" spans="1:9" x14ac:dyDescent="0.3">
      <c r="A8887" t="s">
        <v>10146</v>
      </c>
      <c r="B8887" t="s">
        <v>61</v>
      </c>
      <c r="C8887">
        <v>8989697390</v>
      </c>
      <c r="D8887" s="2">
        <v>1</v>
      </c>
      <c r="E8887" t="str">
        <f>"4574674200955045"</f>
        <v>4574674200955045</v>
      </c>
      <c r="F8887" t="str">
        <f>"480"</f>
        <v>480</v>
      </c>
      <c r="G8887">
        <v>1</v>
      </c>
      <c r="H8887">
        <v>2023</v>
      </c>
      <c r="I8887" t="s">
        <v>9002</v>
      </c>
    </row>
    <row r="8888" spans="1:9" x14ac:dyDescent="0.3">
      <c r="A8888" t="s">
        <v>10146</v>
      </c>
      <c r="B8888" t="s">
        <v>61</v>
      </c>
      <c r="C8888">
        <v>8989697390</v>
      </c>
      <c r="D8888" s="2">
        <v>1</v>
      </c>
      <c r="E8888" t="str">
        <f>"4574674200955052"</f>
        <v>4574674200955052</v>
      </c>
      <c r="F8888" t="str">
        <f>"496"</f>
        <v>496</v>
      </c>
      <c r="G8888">
        <v>1</v>
      </c>
      <c r="H8888">
        <v>2023</v>
      </c>
      <c r="I8888" t="s">
        <v>9003</v>
      </c>
    </row>
    <row r="8889" spans="1:9" x14ac:dyDescent="0.3">
      <c r="A8889" t="s">
        <v>10146</v>
      </c>
      <c r="B8889" t="s">
        <v>61</v>
      </c>
      <c r="C8889">
        <v>8989697390</v>
      </c>
      <c r="D8889" s="2">
        <v>1</v>
      </c>
      <c r="E8889" t="str">
        <f>"4574674200955573"</f>
        <v>4574674200955573</v>
      </c>
      <c r="F8889" t="str">
        <f>"082"</f>
        <v>082</v>
      </c>
      <c r="G8889">
        <v>1</v>
      </c>
      <c r="H8889">
        <v>2023</v>
      </c>
      <c r="I8889" t="s">
        <v>9004</v>
      </c>
    </row>
    <row r="8890" spans="1:9" x14ac:dyDescent="0.3">
      <c r="A8890" t="s">
        <v>10146</v>
      </c>
      <c r="B8890" t="s">
        <v>61</v>
      </c>
      <c r="C8890">
        <v>8989697390</v>
      </c>
      <c r="D8890" s="2">
        <v>1</v>
      </c>
      <c r="E8890" t="str">
        <f>"4574674200955599"</f>
        <v>4574674200955599</v>
      </c>
      <c r="F8890" t="str">
        <f>"832"</f>
        <v>832</v>
      </c>
      <c r="G8890">
        <v>1</v>
      </c>
      <c r="H8890">
        <v>2023</v>
      </c>
      <c r="I8890" t="s">
        <v>9005</v>
      </c>
    </row>
    <row r="8891" spans="1:9" x14ac:dyDescent="0.3">
      <c r="A8891" t="s">
        <v>10146</v>
      </c>
      <c r="B8891" t="s">
        <v>61</v>
      </c>
      <c r="C8891">
        <v>8989697390</v>
      </c>
      <c r="D8891" s="2">
        <v>1</v>
      </c>
      <c r="E8891" t="str">
        <f>"4574674200955631"</f>
        <v>4574674200955631</v>
      </c>
      <c r="F8891" t="str">
        <f>"996"</f>
        <v>996</v>
      </c>
      <c r="G8891">
        <v>1</v>
      </c>
      <c r="H8891">
        <v>2023</v>
      </c>
      <c r="I8891" t="s">
        <v>9006</v>
      </c>
    </row>
    <row r="8892" spans="1:9" x14ac:dyDescent="0.3">
      <c r="A8892" t="s">
        <v>10146</v>
      </c>
      <c r="B8892" t="s">
        <v>61</v>
      </c>
      <c r="C8892">
        <v>8989697390</v>
      </c>
      <c r="D8892" s="2">
        <v>1</v>
      </c>
      <c r="E8892" t="str">
        <f>"4574674200955615"</f>
        <v>4574674200955615</v>
      </c>
      <c r="F8892" t="str">
        <f>"393"</f>
        <v>393</v>
      </c>
      <c r="G8892">
        <v>1</v>
      </c>
      <c r="H8892">
        <v>2023</v>
      </c>
      <c r="I8892" t="s">
        <v>9007</v>
      </c>
    </row>
    <row r="8893" spans="1:9" x14ac:dyDescent="0.3">
      <c r="A8893" t="s">
        <v>10146</v>
      </c>
      <c r="B8893" t="s">
        <v>61</v>
      </c>
      <c r="C8893">
        <v>8989697390</v>
      </c>
      <c r="D8893" s="2">
        <v>1</v>
      </c>
      <c r="E8893" t="str">
        <f>"4574674200955060"</f>
        <v>4574674200955060</v>
      </c>
      <c r="F8893" t="str">
        <f>"289"</f>
        <v>289</v>
      </c>
      <c r="G8893">
        <v>1</v>
      </c>
      <c r="H8893">
        <v>2023</v>
      </c>
      <c r="I8893" t="s">
        <v>9008</v>
      </c>
    </row>
    <row r="8894" spans="1:9" x14ac:dyDescent="0.3">
      <c r="A8894" t="s">
        <v>10146</v>
      </c>
      <c r="B8894" t="s">
        <v>61</v>
      </c>
      <c r="C8894">
        <v>8989697390</v>
      </c>
      <c r="D8894" s="2">
        <v>1</v>
      </c>
      <c r="E8894" t="str">
        <f>"4574674200955680"</f>
        <v>4574674200955680</v>
      </c>
      <c r="F8894" t="str">
        <f>"202"</f>
        <v>202</v>
      </c>
      <c r="G8894">
        <v>1</v>
      </c>
      <c r="H8894">
        <v>2023</v>
      </c>
      <c r="I8894" t="s">
        <v>9009</v>
      </c>
    </row>
    <row r="8895" spans="1:9" x14ac:dyDescent="0.3">
      <c r="A8895" t="s">
        <v>10146</v>
      </c>
      <c r="B8895" t="s">
        <v>61</v>
      </c>
      <c r="C8895">
        <v>8989697390</v>
      </c>
      <c r="D8895" s="2">
        <v>1</v>
      </c>
      <c r="E8895" t="str">
        <f>"4574674200955797"</f>
        <v>4574674200955797</v>
      </c>
      <c r="F8895" t="str">
        <f>"567"</f>
        <v>567</v>
      </c>
      <c r="G8895">
        <v>1</v>
      </c>
      <c r="H8895">
        <v>2023</v>
      </c>
      <c r="I8895" t="s">
        <v>9010</v>
      </c>
    </row>
    <row r="8896" spans="1:9" x14ac:dyDescent="0.3">
      <c r="A8896" t="s">
        <v>10147</v>
      </c>
      <c r="B8896" t="s">
        <v>62</v>
      </c>
      <c r="C8896">
        <v>8989697390</v>
      </c>
      <c r="D8896" s="2">
        <v>1</v>
      </c>
      <c r="E8896" t="str">
        <f>"4574674200955763"</f>
        <v>4574674200955763</v>
      </c>
      <c r="F8896" t="str">
        <f>"421"</f>
        <v>421</v>
      </c>
      <c r="G8896">
        <v>1</v>
      </c>
      <c r="H8896">
        <v>2023</v>
      </c>
      <c r="I8896" t="s">
        <v>9011</v>
      </c>
    </row>
    <row r="8897" spans="1:9" x14ac:dyDescent="0.3">
      <c r="A8897" t="s">
        <v>10147</v>
      </c>
      <c r="B8897" t="s">
        <v>62</v>
      </c>
      <c r="C8897">
        <v>8989697390</v>
      </c>
      <c r="D8897" s="2">
        <v>1</v>
      </c>
      <c r="E8897" t="str">
        <f>"4574674200955789"</f>
        <v>4574674200955789</v>
      </c>
      <c r="F8897" t="str">
        <f>"539"</f>
        <v>539</v>
      </c>
      <c r="G8897">
        <v>1</v>
      </c>
      <c r="H8897">
        <v>2023</v>
      </c>
      <c r="I8897" t="s">
        <v>9012</v>
      </c>
    </row>
    <row r="8898" spans="1:9" x14ac:dyDescent="0.3">
      <c r="A8898" t="s">
        <v>10147</v>
      </c>
      <c r="B8898" t="s">
        <v>62</v>
      </c>
      <c r="C8898">
        <v>8989697390</v>
      </c>
      <c r="D8898" s="2">
        <v>1</v>
      </c>
      <c r="E8898" t="str">
        <f>"4574674200955086"</f>
        <v>4574674200955086</v>
      </c>
      <c r="F8898" t="str">
        <f>"196"</f>
        <v>196</v>
      </c>
      <c r="G8898">
        <v>1</v>
      </c>
      <c r="H8898">
        <v>2023</v>
      </c>
      <c r="I8898" t="s">
        <v>9013</v>
      </c>
    </row>
    <row r="8899" spans="1:9" x14ac:dyDescent="0.3">
      <c r="A8899" t="s">
        <v>10147</v>
      </c>
      <c r="B8899" t="s">
        <v>62</v>
      </c>
      <c r="C8899">
        <v>8989697390</v>
      </c>
      <c r="D8899" s="2">
        <v>1</v>
      </c>
      <c r="E8899" t="str">
        <f>"4574674200955094"</f>
        <v>4574674200955094</v>
      </c>
      <c r="F8899" t="str">
        <f>"797"</f>
        <v>797</v>
      </c>
      <c r="G8899">
        <v>1</v>
      </c>
      <c r="H8899">
        <v>2023</v>
      </c>
      <c r="I8899" t="s">
        <v>9014</v>
      </c>
    </row>
    <row r="8900" spans="1:9" x14ac:dyDescent="0.3">
      <c r="A8900" t="s">
        <v>10147</v>
      </c>
      <c r="B8900" t="s">
        <v>62</v>
      </c>
      <c r="C8900">
        <v>8989697390</v>
      </c>
      <c r="D8900" s="2">
        <v>1</v>
      </c>
      <c r="E8900" t="str">
        <f>"4574674200955870"</f>
        <v>4574674200955870</v>
      </c>
      <c r="F8900" t="str">
        <f>"101"</f>
        <v>101</v>
      </c>
      <c r="G8900">
        <v>1</v>
      </c>
      <c r="H8900">
        <v>2023</v>
      </c>
      <c r="I8900" t="s">
        <v>9015</v>
      </c>
    </row>
    <row r="8901" spans="1:9" x14ac:dyDescent="0.3">
      <c r="A8901" t="s">
        <v>10147</v>
      </c>
      <c r="B8901" t="s">
        <v>62</v>
      </c>
      <c r="C8901">
        <v>8989697390</v>
      </c>
      <c r="D8901" s="2">
        <v>1</v>
      </c>
      <c r="E8901" t="str">
        <f>"4574674200955904"</f>
        <v>4574674200955904</v>
      </c>
      <c r="F8901" t="str">
        <f>"041"</f>
        <v>041</v>
      </c>
      <c r="G8901">
        <v>1</v>
      </c>
      <c r="H8901">
        <v>2023</v>
      </c>
      <c r="I8901" t="s">
        <v>9016</v>
      </c>
    </row>
    <row r="8902" spans="1:9" x14ac:dyDescent="0.3">
      <c r="A8902" t="s">
        <v>10147</v>
      </c>
      <c r="B8902" t="s">
        <v>62</v>
      </c>
      <c r="C8902">
        <v>8989697390</v>
      </c>
      <c r="D8902" s="2">
        <v>1</v>
      </c>
      <c r="E8902" t="str">
        <f>"4574674200955938"</f>
        <v>4574674200955938</v>
      </c>
      <c r="F8902" t="str">
        <f>"724"</f>
        <v>724</v>
      </c>
      <c r="G8902">
        <v>1</v>
      </c>
      <c r="H8902">
        <v>2023</v>
      </c>
      <c r="I8902" t="s">
        <v>9017</v>
      </c>
    </row>
    <row r="8903" spans="1:9" x14ac:dyDescent="0.3">
      <c r="A8903" t="s">
        <v>10147</v>
      </c>
      <c r="B8903" t="s">
        <v>62</v>
      </c>
      <c r="C8903">
        <v>8989697390</v>
      </c>
      <c r="D8903" s="2">
        <v>1</v>
      </c>
      <c r="E8903" t="str">
        <f>"4574674200955961"</f>
        <v>4574674200955961</v>
      </c>
      <c r="F8903" t="str">
        <f>"415"</f>
        <v>415</v>
      </c>
      <c r="G8903">
        <v>1</v>
      </c>
      <c r="H8903">
        <v>2023</v>
      </c>
      <c r="I8903" t="s">
        <v>9018</v>
      </c>
    </row>
    <row r="8904" spans="1:9" x14ac:dyDescent="0.3">
      <c r="A8904" t="s">
        <v>10147</v>
      </c>
      <c r="B8904" t="s">
        <v>62</v>
      </c>
      <c r="C8904">
        <v>8989697390</v>
      </c>
      <c r="D8904" s="2">
        <v>1</v>
      </c>
      <c r="E8904" t="str">
        <f>"4574674200955110"</f>
        <v>4574674200955110</v>
      </c>
      <c r="F8904" t="str">
        <f>"780"</f>
        <v>780</v>
      </c>
      <c r="G8904">
        <v>1</v>
      </c>
      <c r="H8904">
        <v>2023</v>
      </c>
      <c r="I8904" t="s">
        <v>9019</v>
      </c>
    </row>
    <row r="8905" spans="1:9" x14ac:dyDescent="0.3">
      <c r="A8905" t="s">
        <v>10147</v>
      </c>
      <c r="B8905" t="s">
        <v>62</v>
      </c>
      <c r="C8905">
        <v>8989697390</v>
      </c>
      <c r="D8905" s="2">
        <v>1</v>
      </c>
      <c r="E8905" t="str">
        <f>"4574674200956035"</f>
        <v>4574674200956035</v>
      </c>
      <c r="F8905" t="str">
        <f>"335"</f>
        <v>335</v>
      </c>
      <c r="G8905">
        <v>1</v>
      </c>
      <c r="H8905">
        <v>2023</v>
      </c>
      <c r="I8905" t="s">
        <v>9020</v>
      </c>
    </row>
    <row r="8906" spans="1:9" x14ac:dyDescent="0.3">
      <c r="A8906" t="s">
        <v>10167</v>
      </c>
      <c r="B8906" t="s">
        <v>63</v>
      </c>
      <c r="C8906">
        <v>8989697390</v>
      </c>
      <c r="D8906" s="2">
        <v>1</v>
      </c>
      <c r="E8906" t="str">
        <f>"4574674200956068"</f>
        <v>4574674200956068</v>
      </c>
      <c r="F8906" t="str">
        <f>"323"</f>
        <v>323</v>
      </c>
      <c r="G8906">
        <v>1</v>
      </c>
      <c r="H8906">
        <v>2023</v>
      </c>
      <c r="I8906" t="s">
        <v>9021</v>
      </c>
    </row>
    <row r="8907" spans="1:9" x14ac:dyDescent="0.3">
      <c r="A8907" t="s">
        <v>10167</v>
      </c>
      <c r="B8907" t="s">
        <v>63</v>
      </c>
      <c r="C8907">
        <v>8989697390</v>
      </c>
      <c r="D8907" s="2">
        <v>1</v>
      </c>
      <c r="E8907" t="str">
        <f>"4574674200956092"</f>
        <v>4574674200956092</v>
      </c>
      <c r="F8907" t="str">
        <f>"270"</f>
        <v>270</v>
      </c>
      <c r="G8907">
        <v>1</v>
      </c>
      <c r="H8907">
        <v>2023</v>
      </c>
      <c r="I8907" t="s">
        <v>9022</v>
      </c>
    </row>
    <row r="8908" spans="1:9" x14ac:dyDescent="0.3">
      <c r="A8908" t="s">
        <v>10167</v>
      </c>
      <c r="B8908" t="s">
        <v>63</v>
      </c>
      <c r="C8908">
        <v>8989697390</v>
      </c>
      <c r="D8908" s="2">
        <v>1</v>
      </c>
      <c r="E8908" t="str">
        <f>"4574674200955128"</f>
        <v>4574674200955128</v>
      </c>
      <c r="F8908" t="str">
        <f>"413"</f>
        <v>413</v>
      </c>
      <c r="G8908">
        <v>1</v>
      </c>
      <c r="H8908">
        <v>2023</v>
      </c>
      <c r="I8908" t="s">
        <v>9023</v>
      </c>
    </row>
    <row r="8909" spans="1:9" x14ac:dyDescent="0.3">
      <c r="A8909" t="s">
        <v>10167</v>
      </c>
      <c r="B8909" t="s">
        <v>63</v>
      </c>
      <c r="C8909">
        <v>8989697390</v>
      </c>
      <c r="D8909" s="2">
        <v>1</v>
      </c>
      <c r="E8909" t="str">
        <f>"4574674200955136"</f>
        <v>4574674200955136</v>
      </c>
      <c r="F8909" t="str">
        <f>"897"</f>
        <v>897</v>
      </c>
      <c r="G8909">
        <v>1</v>
      </c>
      <c r="H8909">
        <v>2023</v>
      </c>
      <c r="I8909" t="s">
        <v>9024</v>
      </c>
    </row>
    <row r="8910" spans="1:9" x14ac:dyDescent="0.3">
      <c r="A8910" t="s">
        <v>10167</v>
      </c>
      <c r="B8910" t="s">
        <v>63</v>
      </c>
      <c r="C8910">
        <v>8989697390</v>
      </c>
      <c r="D8910" s="2">
        <v>1</v>
      </c>
      <c r="E8910" t="str">
        <f>"4574674200956134"</f>
        <v>4574674200956134</v>
      </c>
      <c r="F8910" t="str">
        <f>"781"</f>
        <v>781</v>
      </c>
      <c r="G8910">
        <v>1</v>
      </c>
      <c r="H8910">
        <v>2023</v>
      </c>
      <c r="I8910" t="s">
        <v>9025</v>
      </c>
    </row>
    <row r="8911" spans="1:9" x14ac:dyDescent="0.3">
      <c r="A8911" t="s">
        <v>10167</v>
      </c>
      <c r="B8911" t="s">
        <v>63</v>
      </c>
      <c r="C8911">
        <v>8989697390</v>
      </c>
      <c r="D8911" s="2">
        <v>1</v>
      </c>
      <c r="E8911" t="str">
        <f>"4574674200956167"</f>
        <v>4574674200956167</v>
      </c>
      <c r="F8911" t="str">
        <f>"356"</f>
        <v>356</v>
      </c>
      <c r="G8911">
        <v>1</v>
      </c>
      <c r="H8911">
        <v>2023</v>
      </c>
      <c r="I8911" t="s">
        <v>9026</v>
      </c>
    </row>
    <row r="8912" spans="1:9" x14ac:dyDescent="0.3">
      <c r="A8912" t="s">
        <v>10167</v>
      </c>
      <c r="B8912" t="s">
        <v>63</v>
      </c>
      <c r="C8912">
        <v>8989697390</v>
      </c>
      <c r="D8912" s="2">
        <v>1</v>
      </c>
      <c r="E8912" t="str">
        <f>"4574674200956209"</f>
        <v>4574674200956209</v>
      </c>
      <c r="F8912" t="str">
        <f>"309"</f>
        <v>309</v>
      </c>
      <c r="G8912">
        <v>1</v>
      </c>
      <c r="H8912">
        <v>2023</v>
      </c>
      <c r="I8912" t="s">
        <v>9027</v>
      </c>
    </row>
    <row r="8913" spans="1:9" x14ac:dyDescent="0.3">
      <c r="A8913" t="s">
        <v>10167</v>
      </c>
      <c r="B8913" t="s">
        <v>63</v>
      </c>
      <c r="C8913">
        <v>8989697390</v>
      </c>
      <c r="D8913" s="2">
        <v>1</v>
      </c>
      <c r="E8913" t="str">
        <f>"4574674200956258"</f>
        <v>4574674200956258</v>
      </c>
      <c r="F8913" t="str">
        <f>"329"</f>
        <v>329</v>
      </c>
      <c r="G8913">
        <v>1</v>
      </c>
      <c r="H8913">
        <v>2023</v>
      </c>
      <c r="I8913" t="s">
        <v>9028</v>
      </c>
    </row>
    <row r="8914" spans="1:9" x14ac:dyDescent="0.3">
      <c r="A8914" t="s">
        <v>10167</v>
      </c>
      <c r="B8914" t="s">
        <v>63</v>
      </c>
      <c r="C8914">
        <v>8989697390</v>
      </c>
      <c r="D8914" s="2">
        <v>1</v>
      </c>
      <c r="E8914" t="str">
        <f>"4574674200956308"</f>
        <v>4574674200956308</v>
      </c>
      <c r="F8914" t="str">
        <f>"868"</f>
        <v>868</v>
      </c>
      <c r="G8914">
        <v>1</v>
      </c>
      <c r="H8914">
        <v>2023</v>
      </c>
      <c r="I8914" t="s">
        <v>9029</v>
      </c>
    </row>
    <row r="8915" spans="1:9" x14ac:dyDescent="0.3">
      <c r="A8915" t="s">
        <v>10167</v>
      </c>
      <c r="B8915" t="s">
        <v>63</v>
      </c>
      <c r="C8915">
        <v>8989697390</v>
      </c>
      <c r="D8915" s="2">
        <v>1</v>
      </c>
      <c r="E8915" t="str">
        <f>"4574674200956357"</f>
        <v>4574674200956357</v>
      </c>
      <c r="F8915" t="str">
        <f>"283"</f>
        <v>283</v>
      </c>
      <c r="G8915">
        <v>1</v>
      </c>
      <c r="H8915">
        <v>2023</v>
      </c>
      <c r="I8915" t="s">
        <v>9030</v>
      </c>
    </row>
    <row r="8916" spans="1:9" x14ac:dyDescent="0.3">
      <c r="A8916" t="s">
        <v>10157</v>
      </c>
      <c r="B8916" t="s">
        <v>64</v>
      </c>
      <c r="C8916">
        <v>8989697390</v>
      </c>
      <c r="D8916" s="2">
        <v>1</v>
      </c>
      <c r="E8916" t="str">
        <f>"4574674200956381"</f>
        <v>4574674200956381</v>
      </c>
      <c r="F8916" t="str">
        <f>"948"</f>
        <v>948</v>
      </c>
      <c r="G8916">
        <v>1</v>
      </c>
      <c r="H8916">
        <v>2023</v>
      </c>
      <c r="I8916" t="s">
        <v>9031</v>
      </c>
    </row>
    <row r="8917" spans="1:9" x14ac:dyDescent="0.3">
      <c r="A8917" t="s">
        <v>10157</v>
      </c>
      <c r="B8917" t="s">
        <v>64</v>
      </c>
      <c r="C8917">
        <v>8989697390</v>
      </c>
      <c r="D8917" s="2">
        <v>1</v>
      </c>
      <c r="E8917" t="str">
        <f>"4574674200955151"</f>
        <v>4574674200955151</v>
      </c>
      <c r="F8917" t="str">
        <f>"202"</f>
        <v>202</v>
      </c>
      <c r="G8917">
        <v>1</v>
      </c>
      <c r="H8917">
        <v>2023</v>
      </c>
      <c r="I8917" t="s">
        <v>9032</v>
      </c>
    </row>
    <row r="8918" spans="1:9" x14ac:dyDescent="0.3">
      <c r="A8918" t="s">
        <v>10157</v>
      </c>
      <c r="B8918" t="s">
        <v>64</v>
      </c>
      <c r="C8918">
        <v>8989697390</v>
      </c>
      <c r="D8918" s="2">
        <v>1</v>
      </c>
      <c r="E8918" t="str">
        <f>"4574674200955169"</f>
        <v>4574674200955169</v>
      </c>
      <c r="F8918" t="str">
        <f>"172"</f>
        <v>172</v>
      </c>
      <c r="G8918">
        <v>1</v>
      </c>
      <c r="H8918">
        <v>2023</v>
      </c>
      <c r="I8918" t="s">
        <v>9033</v>
      </c>
    </row>
    <row r="8919" spans="1:9" x14ac:dyDescent="0.3">
      <c r="A8919" t="s">
        <v>10157</v>
      </c>
      <c r="B8919" t="s">
        <v>64</v>
      </c>
      <c r="C8919">
        <v>8989697390</v>
      </c>
      <c r="D8919" s="2">
        <v>1</v>
      </c>
      <c r="E8919" t="str">
        <f>"4574674200956456"</f>
        <v>4574674200956456</v>
      </c>
      <c r="F8919" t="str">
        <f>"329"</f>
        <v>329</v>
      </c>
      <c r="G8919">
        <v>1</v>
      </c>
      <c r="H8919">
        <v>2023</v>
      </c>
      <c r="I8919" t="s">
        <v>9034</v>
      </c>
    </row>
    <row r="8920" spans="1:9" x14ac:dyDescent="0.3">
      <c r="A8920" t="s">
        <v>10157</v>
      </c>
      <c r="B8920" t="s">
        <v>64</v>
      </c>
      <c r="C8920">
        <v>8989697390</v>
      </c>
      <c r="D8920" s="2">
        <v>1</v>
      </c>
      <c r="E8920" t="str">
        <f>"4574674200955177"</f>
        <v>4574674200955177</v>
      </c>
      <c r="F8920" t="str">
        <f>"877"</f>
        <v>877</v>
      </c>
      <c r="G8920">
        <v>1</v>
      </c>
      <c r="H8920">
        <v>2023</v>
      </c>
      <c r="I8920" t="s">
        <v>9035</v>
      </c>
    </row>
    <row r="8921" spans="1:9" x14ac:dyDescent="0.3">
      <c r="A8921" t="s">
        <v>10157</v>
      </c>
      <c r="B8921" t="s">
        <v>64</v>
      </c>
      <c r="C8921">
        <v>8989697390</v>
      </c>
      <c r="D8921" s="2">
        <v>1</v>
      </c>
      <c r="E8921" t="str">
        <f>"4574674200956480"</f>
        <v>4574674200956480</v>
      </c>
      <c r="F8921" t="str">
        <f>"457"</f>
        <v>457</v>
      </c>
      <c r="G8921">
        <v>1</v>
      </c>
      <c r="H8921">
        <v>2023</v>
      </c>
      <c r="I8921" t="s">
        <v>9036</v>
      </c>
    </row>
    <row r="8922" spans="1:9" x14ac:dyDescent="0.3">
      <c r="A8922" t="s">
        <v>10157</v>
      </c>
      <c r="B8922" t="s">
        <v>64</v>
      </c>
      <c r="C8922">
        <v>8989697390</v>
      </c>
      <c r="D8922" s="2">
        <v>1</v>
      </c>
      <c r="E8922" t="str">
        <f>"4574674200956522"</f>
        <v>4574674200956522</v>
      </c>
      <c r="F8922" t="str">
        <f>"289"</f>
        <v>289</v>
      </c>
      <c r="G8922">
        <v>1</v>
      </c>
      <c r="H8922">
        <v>2023</v>
      </c>
      <c r="I8922" t="s">
        <v>9037</v>
      </c>
    </row>
    <row r="8923" spans="1:9" x14ac:dyDescent="0.3">
      <c r="A8923" t="s">
        <v>10157</v>
      </c>
      <c r="B8923" t="s">
        <v>64</v>
      </c>
      <c r="C8923">
        <v>8989697390</v>
      </c>
      <c r="D8923" s="2">
        <v>1</v>
      </c>
      <c r="E8923" t="str">
        <f>"4574674200956563"</f>
        <v>4574674200956563</v>
      </c>
      <c r="F8923" t="str">
        <f>"114"</f>
        <v>114</v>
      </c>
      <c r="G8923">
        <v>1</v>
      </c>
      <c r="H8923">
        <v>2023</v>
      </c>
      <c r="I8923" t="s">
        <v>9038</v>
      </c>
    </row>
    <row r="8924" spans="1:9" x14ac:dyDescent="0.3">
      <c r="A8924" t="s">
        <v>10157</v>
      </c>
      <c r="B8924" t="s">
        <v>64</v>
      </c>
      <c r="C8924">
        <v>8989697390</v>
      </c>
      <c r="D8924" s="2">
        <v>1</v>
      </c>
      <c r="E8924" t="str">
        <f>"4574674200956613"</f>
        <v>4574674200956613</v>
      </c>
      <c r="F8924" t="str">
        <f>"170"</f>
        <v>170</v>
      </c>
      <c r="G8924">
        <v>1</v>
      </c>
      <c r="H8924">
        <v>2023</v>
      </c>
      <c r="I8924" t="s">
        <v>9039</v>
      </c>
    </row>
    <row r="8925" spans="1:9" x14ac:dyDescent="0.3">
      <c r="A8925" t="s">
        <v>10157</v>
      </c>
      <c r="B8925" t="s">
        <v>64</v>
      </c>
      <c r="C8925">
        <v>8989697390</v>
      </c>
      <c r="D8925" s="2">
        <v>1</v>
      </c>
      <c r="E8925" t="str">
        <f>"4574674200956654"</f>
        <v>4574674200956654</v>
      </c>
      <c r="F8925" t="str">
        <f>"434"</f>
        <v>434</v>
      </c>
      <c r="G8925">
        <v>1</v>
      </c>
      <c r="H8925">
        <v>2023</v>
      </c>
      <c r="I8925" t="s">
        <v>9040</v>
      </c>
    </row>
    <row r="8926" spans="1:9" x14ac:dyDescent="0.3">
      <c r="A8926" t="s">
        <v>10158</v>
      </c>
      <c r="B8926" t="s">
        <v>65</v>
      </c>
      <c r="C8926">
        <v>8989697390</v>
      </c>
      <c r="D8926" s="2">
        <v>1</v>
      </c>
      <c r="E8926" t="str">
        <f>"4574674200956696"</f>
        <v>4574674200956696</v>
      </c>
      <c r="F8926" t="str">
        <f>"299"</f>
        <v>299</v>
      </c>
      <c r="G8926">
        <v>1</v>
      </c>
      <c r="H8926">
        <v>2023</v>
      </c>
      <c r="I8926" t="s">
        <v>9041</v>
      </c>
    </row>
    <row r="8927" spans="1:9" x14ac:dyDescent="0.3">
      <c r="A8927" t="s">
        <v>10158</v>
      </c>
      <c r="B8927" t="s">
        <v>65</v>
      </c>
      <c r="C8927">
        <v>8989697390</v>
      </c>
      <c r="D8927" s="2">
        <v>1</v>
      </c>
      <c r="E8927" t="str">
        <f>"4574674200956753"</f>
        <v>4574674200956753</v>
      </c>
      <c r="F8927" t="str">
        <f>"141"</f>
        <v>141</v>
      </c>
      <c r="G8927">
        <v>1</v>
      </c>
      <c r="H8927">
        <v>2023</v>
      </c>
      <c r="I8927" t="s">
        <v>9042</v>
      </c>
    </row>
    <row r="8928" spans="1:9" x14ac:dyDescent="0.3">
      <c r="A8928" t="s">
        <v>10158</v>
      </c>
      <c r="B8928" t="s">
        <v>65</v>
      </c>
      <c r="C8928">
        <v>8989697390</v>
      </c>
      <c r="D8928" s="2">
        <v>1</v>
      </c>
      <c r="E8928" t="str">
        <f>"4574674200955193"</f>
        <v>4574674200955193</v>
      </c>
      <c r="F8928" t="str">
        <f>"751"</f>
        <v>751</v>
      </c>
      <c r="G8928">
        <v>1</v>
      </c>
      <c r="H8928">
        <v>2023</v>
      </c>
      <c r="I8928" t="s">
        <v>9043</v>
      </c>
    </row>
    <row r="8929" spans="1:9" x14ac:dyDescent="0.3">
      <c r="A8929" t="s">
        <v>10158</v>
      </c>
      <c r="B8929" t="s">
        <v>65</v>
      </c>
      <c r="C8929">
        <v>8989697390</v>
      </c>
      <c r="D8929" s="2">
        <v>1</v>
      </c>
      <c r="E8929" t="str">
        <f>"4574674200956779"</f>
        <v>4574674200956779</v>
      </c>
      <c r="F8929" t="str">
        <f>"958"</f>
        <v>958</v>
      </c>
      <c r="G8929">
        <v>1</v>
      </c>
      <c r="H8929">
        <v>2023</v>
      </c>
      <c r="I8929" t="s">
        <v>9044</v>
      </c>
    </row>
    <row r="8930" spans="1:9" x14ac:dyDescent="0.3">
      <c r="A8930" t="s">
        <v>10158</v>
      </c>
      <c r="B8930" t="s">
        <v>65</v>
      </c>
      <c r="C8930">
        <v>8989697390</v>
      </c>
      <c r="D8930" s="2">
        <v>1</v>
      </c>
      <c r="E8930" t="str">
        <f>"4574674200956803"</f>
        <v>4574674200956803</v>
      </c>
      <c r="F8930" t="str">
        <f>"902"</f>
        <v>902</v>
      </c>
      <c r="G8930">
        <v>1</v>
      </c>
      <c r="H8930">
        <v>2023</v>
      </c>
      <c r="I8930" t="s">
        <v>9045</v>
      </c>
    </row>
    <row r="8931" spans="1:9" x14ac:dyDescent="0.3">
      <c r="A8931" t="s">
        <v>10158</v>
      </c>
      <c r="B8931" t="s">
        <v>65</v>
      </c>
      <c r="C8931">
        <v>8989697390</v>
      </c>
      <c r="D8931" s="2">
        <v>1</v>
      </c>
      <c r="E8931" t="str">
        <f>"4574674200956811"</f>
        <v>4574674200956811</v>
      </c>
      <c r="F8931" t="str">
        <f>"712"</f>
        <v>712</v>
      </c>
      <c r="G8931">
        <v>1</v>
      </c>
      <c r="H8931">
        <v>2023</v>
      </c>
      <c r="I8931" t="s">
        <v>9046</v>
      </c>
    </row>
    <row r="8932" spans="1:9" x14ac:dyDescent="0.3">
      <c r="A8932" t="s">
        <v>10158</v>
      </c>
      <c r="B8932" t="s">
        <v>65</v>
      </c>
      <c r="C8932">
        <v>8989697390</v>
      </c>
      <c r="D8932" s="2">
        <v>1</v>
      </c>
      <c r="E8932" t="str">
        <f>"4574674200957025"</f>
        <v>4574674200957025</v>
      </c>
      <c r="F8932" t="str">
        <f>"117"</f>
        <v>117</v>
      </c>
      <c r="G8932">
        <v>1</v>
      </c>
      <c r="H8932">
        <v>2023</v>
      </c>
      <c r="I8932" t="s">
        <v>9047</v>
      </c>
    </row>
    <row r="8933" spans="1:9" x14ac:dyDescent="0.3">
      <c r="A8933" t="s">
        <v>10158</v>
      </c>
      <c r="B8933" t="s">
        <v>65</v>
      </c>
      <c r="C8933">
        <v>8989697390</v>
      </c>
      <c r="D8933" s="2">
        <v>1</v>
      </c>
      <c r="E8933" t="str">
        <f>"4574674200957041"</f>
        <v>4574674200957041</v>
      </c>
      <c r="F8933" t="str">
        <f>"130"</f>
        <v>130</v>
      </c>
      <c r="G8933">
        <v>1</v>
      </c>
      <c r="H8933">
        <v>2023</v>
      </c>
      <c r="I8933" t="s">
        <v>9048</v>
      </c>
    </row>
    <row r="8934" spans="1:9" x14ac:dyDescent="0.3">
      <c r="A8934" t="s">
        <v>10158</v>
      </c>
      <c r="B8934" t="s">
        <v>65</v>
      </c>
      <c r="C8934">
        <v>8989697390</v>
      </c>
      <c r="D8934" s="2">
        <v>1</v>
      </c>
      <c r="E8934" t="str">
        <f>"4574674200957132"</f>
        <v>4574674200957132</v>
      </c>
      <c r="F8934" t="str">
        <f>"522"</f>
        <v>522</v>
      </c>
      <c r="G8934">
        <v>1</v>
      </c>
      <c r="H8934">
        <v>2023</v>
      </c>
      <c r="I8934" t="s">
        <v>9049</v>
      </c>
    </row>
    <row r="8935" spans="1:9" x14ac:dyDescent="0.3">
      <c r="A8935" t="s">
        <v>10158</v>
      </c>
      <c r="B8935" t="s">
        <v>65</v>
      </c>
      <c r="C8935">
        <v>8989697390</v>
      </c>
      <c r="D8935" s="2">
        <v>1</v>
      </c>
      <c r="E8935" t="str">
        <f>"4574674200957140"</f>
        <v>4574674200957140</v>
      </c>
      <c r="F8935" t="str">
        <f>"311"</f>
        <v>311</v>
      </c>
      <c r="G8935">
        <v>1</v>
      </c>
      <c r="H8935">
        <v>2023</v>
      </c>
      <c r="I8935" t="s">
        <v>9050</v>
      </c>
    </row>
    <row r="8936" spans="1:9" x14ac:dyDescent="0.3">
      <c r="A8936" t="s">
        <v>10159</v>
      </c>
      <c r="B8936" t="s">
        <v>66</v>
      </c>
      <c r="C8936">
        <v>8989697390</v>
      </c>
      <c r="D8936" s="2">
        <v>1</v>
      </c>
      <c r="E8936" t="str">
        <f>"4574674200957173"</f>
        <v>4574674200957173</v>
      </c>
      <c r="F8936" t="str">
        <f>"055"</f>
        <v>055</v>
      </c>
      <c r="G8936">
        <v>1</v>
      </c>
      <c r="H8936">
        <v>2023</v>
      </c>
      <c r="I8936" t="s">
        <v>9051</v>
      </c>
    </row>
    <row r="8937" spans="1:9" x14ac:dyDescent="0.3">
      <c r="A8937" t="s">
        <v>10159</v>
      </c>
      <c r="B8937" t="s">
        <v>66</v>
      </c>
      <c r="C8937">
        <v>8989697390</v>
      </c>
      <c r="D8937" s="2">
        <v>1</v>
      </c>
      <c r="E8937" t="str">
        <f>"4574674200957272"</f>
        <v>4574674200957272</v>
      </c>
      <c r="F8937" t="str">
        <f>"193"</f>
        <v>193</v>
      </c>
      <c r="G8937">
        <v>1</v>
      </c>
      <c r="H8937">
        <v>2023</v>
      </c>
      <c r="I8937" t="s">
        <v>9052</v>
      </c>
    </row>
    <row r="8938" spans="1:9" x14ac:dyDescent="0.3">
      <c r="A8938" t="s">
        <v>10159</v>
      </c>
      <c r="B8938" t="s">
        <v>66</v>
      </c>
      <c r="C8938">
        <v>8989697390</v>
      </c>
      <c r="D8938" s="2">
        <v>1</v>
      </c>
      <c r="E8938" t="str">
        <f>"4574674200957298"</f>
        <v>4574674200957298</v>
      </c>
      <c r="F8938" t="str">
        <f>"905"</f>
        <v>905</v>
      </c>
      <c r="G8938">
        <v>1</v>
      </c>
      <c r="H8938">
        <v>2023</v>
      </c>
      <c r="I8938" t="s">
        <v>9053</v>
      </c>
    </row>
    <row r="8939" spans="1:9" x14ac:dyDescent="0.3">
      <c r="A8939" t="s">
        <v>10159</v>
      </c>
      <c r="B8939" t="s">
        <v>66</v>
      </c>
      <c r="C8939">
        <v>8989697390</v>
      </c>
      <c r="D8939" s="2">
        <v>1</v>
      </c>
      <c r="E8939" t="str">
        <f>"4574674200956837"</f>
        <v>4574674200956837</v>
      </c>
      <c r="F8939" t="str">
        <f>"459"</f>
        <v>459</v>
      </c>
      <c r="G8939">
        <v>1</v>
      </c>
      <c r="H8939">
        <v>2023</v>
      </c>
      <c r="I8939" t="s">
        <v>9054</v>
      </c>
    </row>
    <row r="8940" spans="1:9" x14ac:dyDescent="0.3">
      <c r="A8940" t="s">
        <v>10159</v>
      </c>
      <c r="B8940" t="s">
        <v>66</v>
      </c>
      <c r="C8940">
        <v>8989697390</v>
      </c>
      <c r="D8940" s="2">
        <v>1</v>
      </c>
      <c r="E8940" t="str">
        <f>"4574674200956845"</f>
        <v>4574674200956845</v>
      </c>
      <c r="F8940" t="str">
        <f>"674"</f>
        <v>674</v>
      </c>
      <c r="G8940">
        <v>1</v>
      </c>
      <c r="H8940">
        <v>2023</v>
      </c>
      <c r="I8940" t="s">
        <v>9055</v>
      </c>
    </row>
    <row r="8941" spans="1:9" x14ac:dyDescent="0.3">
      <c r="A8941" t="s">
        <v>10159</v>
      </c>
      <c r="B8941" t="s">
        <v>66</v>
      </c>
      <c r="C8941">
        <v>8989697390</v>
      </c>
      <c r="D8941" s="2">
        <v>1</v>
      </c>
      <c r="E8941" t="str">
        <f>"4574674200957314"</f>
        <v>4574674200957314</v>
      </c>
      <c r="F8941" t="str">
        <f>"848"</f>
        <v>848</v>
      </c>
      <c r="G8941">
        <v>1</v>
      </c>
      <c r="H8941">
        <v>2023</v>
      </c>
      <c r="I8941" t="s">
        <v>9056</v>
      </c>
    </row>
    <row r="8942" spans="1:9" x14ac:dyDescent="0.3">
      <c r="A8942" t="s">
        <v>10159</v>
      </c>
      <c r="B8942" t="s">
        <v>66</v>
      </c>
      <c r="C8942">
        <v>8989697390</v>
      </c>
      <c r="D8942" s="2">
        <v>1</v>
      </c>
      <c r="E8942" t="str">
        <f>"4574674200957330"</f>
        <v>4574674200957330</v>
      </c>
      <c r="F8942" t="str">
        <f>"601"</f>
        <v>601</v>
      </c>
      <c r="G8942">
        <v>1</v>
      </c>
      <c r="H8942">
        <v>2023</v>
      </c>
      <c r="I8942" t="s">
        <v>9057</v>
      </c>
    </row>
    <row r="8943" spans="1:9" x14ac:dyDescent="0.3">
      <c r="A8943" t="s">
        <v>10159</v>
      </c>
      <c r="B8943" t="s">
        <v>66</v>
      </c>
      <c r="C8943">
        <v>8989697390</v>
      </c>
      <c r="D8943" s="2">
        <v>1</v>
      </c>
      <c r="E8943" t="str">
        <f>"4574674200956852"</f>
        <v>4574674200956852</v>
      </c>
      <c r="F8943" t="str">
        <f>"147"</f>
        <v>147</v>
      </c>
      <c r="G8943">
        <v>1</v>
      </c>
      <c r="H8943">
        <v>2023</v>
      </c>
      <c r="I8943" t="s">
        <v>9058</v>
      </c>
    </row>
    <row r="8944" spans="1:9" x14ac:dyDescent="0.3">
      <c r="A8944" t="s">
        <v>10159</v>
      </c>
      <c r="B8944" t="s">
        <v>66</v>
      </c>
      <c r="C8944">
        <v>8989697390</v>
      </c>
      <c r="D8944" s="2">
        <v>1</v>
      </c>
      <c r="E8944" t="str">
        <f>"4574674200957488"</f>
        <v>4574674200957488</v>
      </c>
      <c r="F8944" t="str">
        <f>"770"</f>
        <v>770</v>
      </c>
      <c r="G8944">
        <v>1</v>
      </c>
      <c r="H8944">
        <v>2023</v>
      </c>
      <c r="I8944" t="s">
        <v>9059</v>
      </c>
    </row>
    <row r="8945" spans="1:9" x14ac:dyDescent="0.3">
      <c r="A8945" t="s">
        <v>10159</v>
      </c>
      <c r="B8945" t="s">
        <v>66</v>
      </c>
      <c r="C8945">
        <v>8989697390</v>
      </c>
      <c r="D8945" s="2">
        <v>1</v>
      </c>
      <c r="E8945" t="str">
        <f>"4574674200957470"</f>
        <v>4574674200957470</v>
      </c>
      <c r="F8945" t="str">
        <f>"576"</f>
        <v>576</v>
      </c>
      <c r="G8945">
        <v>1</v>
      </c>
      <c r="H8945">
        <v>2023</v>
      </c>
      <c r="I8945" t="s">
        <v>9060</v>
      </c>
    </row>
    <row r="8946" spans="1:9" x14ac:dyDescent="0.3">
      <c r="A8946" t="s">
        <v>10130</v>
      </c>
      <c r="B8946" t="s">
        <v>67</v>
      </c>
      <c r="C8946">
        <v>8989697390</v>
      </c>
      <c r="D8946" s="2">
        <v>1</v>
      </c>
      <c r="E8946" t="str">
        <f>"4574674200957538"</f>
        <v>4574674200957538</v>
      </c>
      <c r="F8946" t="str">
        <f>"799"</f>
        <v>799</v>
      </c>
      <c r="G8946">
        <v>1</v>
      </c>
      <c r="H8946">
        <v>2023</v>
      </c>
      <c r="I8946" t="s">
        <v>9061</v>
      </c>
    </row>
    <row r="8947" spans="1:9" x14ac:dyDescent="0.3">
      <c r="A8947" t="s">
        <v>10130</v>
      </c>
      <c r="B8947" t="s">
        <v>67</v>
      </c>
      <c r="C8947">
        <v>8989697390</v>
      </c>
      <c r="D8947" s="2">
        <v>1</v>
      </c>
      <c r="E8947" t="str">
        <f>"4574674200957520"</f>
        <v>4574674200957520</v>
      </c>
      <c r="F8947" t="str">
        <f>"774"</f>
        <v>774</v>
      </c>
      <c r="G8947">
        <v>1</v>
      </c>
      <c r="H8947">
        <v>2023</v>
      </c>
      <c r="I8947" t="s">
        <v>9062</v>
      </c>
    </row>
    <row r="8948" spans="1:9" x14ac:dyDescent="0.3">
      <c r="A8948" t="s">
        <v>10130</v>
      </c>
      <c r="B8948" t="s">
        <v>67</v>
      </c>
      <c r="C8948">
        <v>8989697390</v>
      </c>
      <c r="D8948" s="2">
        <v>1</v>
      </c>
      <c r="E8948" t="str">
        <f>"4574674200956886"</f>
        <v>4574674200956886</v>
      </c>
      <c r="F8948" t="str">
        <f>"388"</f>
        <v>388</v>
      </c>
      <c r="G8948">
        <v>1</v>
      </c>
      <c r="H8948">
        <v>2023</v>
      </c>
      <c r="I8948" t="s">
        <v>9063</v>
      </c>
    </row>
    <row r="8949" spans="1:9" x14ac:dyDescent="0.3">
      <c r="A8949" t="s">
        <v>10130</v>
      </c>
      <c r="B8949" t="s">
        <v>67</v>
      </c>
      <c r="C8949">
        <v>8989697390</v>
      </c>
      <c r="D8949" s="2">
        <v>1</v>
      </c>
      <c r="E8949" t="str">
        <f>"4574674200956878"</f>
        <v>4574674200956878</v>
      </c>
      <c r="F8949" t="str">
        <f>"932"</f>
        <v>932</v>
      </c>
      <c r="G8949">
        <v>1</v>
      </c>
      <c r="H8949">
        <v>2023</v>
      </c>
      <c r="I8949" t="s">
        <v>9064</v>
      </c>
    </row>
    <row r="8950" spans="1:9" x14ac:dyDescent="0.3">
      <c r="A8950" t="s">
        <v>10130</v>
      </c>
      <c r="B8950" t="s">
        <v>67</v>
      </c>
      <c r="C8950">
        <v>8989697390</v>
      </c>
      <c r="D8950" s="2">
        <v>1</v>
      </c>
      <c r="E8950" t="str">
        <f>"4574674200957637"</f>
        <v>4574674200957637</v>
      </c>
      <c r="F8950" t="str">
        <f>"074"</f>
        <v>074</v>
      </c>
      <c r="G8950">
        <v>1</v>
      </c>
      <c r="H8950">
        <v>2023</v>
      </c>
      <c r="I8950" t="s">
        <v>9065</v>
      </c>
    </row>
    <row r="8951" spans="1:9" x14ac:dyDescent="0.3">
      <c r="A8951" t="s">
        <v>10130</v>
      </c>
      <c r="B8951" t="s">
        <v>67</v>
      </c>
      <c r="C8951">
        <v>8989697390</v>
      </c>
      <c r="D8951" s="2">
        <v>1</v>
      </c>
      <c r="E8951" t="str">
        <f>"4574674200957652"</f>
        <v>4574674200957652</v>
      </c>
      <c r="F8951" t="str">
        <f>"093"</f>
        <v>093</v>
      </c>
      <c r="G8951">
        <v>1</v>
      </c>
      <c r="H8951">
        <v>2023</v>
      </c>
      <c r="I8951" t="s">
        <v>9066</v>
      </c>
    </row>
    <row r="8952" spans="1:9" x14ac:dyDescent="0.3">
      <c r="A8952" t="s">
        <v>10130</v>
      </c>
      <c r="B8952" t="s">
        <v>67</v>
      </c>
      <c r="C8952">
        <v>8989697390</v>
      </c>
      <c r="D8952" s="2">
        <v>1</v>
      </c>
      <c r="E8952" t="str">
        <f>"4574674200957694"</f>
        <v>4574674200957694</v>
      </c>
      <c r="F8952" t="str">
        <f>"075"</f>
        <v>075</v>
      </c>
      <c r="G8952">
        <v>1</v>
      </c>
      <c r="H8952">
        <v>2023</v>
      </c>
      <c r="I8952" t="s">
        <v>9067</v>
      </c>
    </row>
    <row r="8953" spans="1:9" x14ac:dyDescent="0.3">
      <c r="A8953" t="s">
        <v>10130</v>
      </c>
      <c r="B8953" t="s">
        <v>67</v>
      </c>
      <c r="C8953">
        <v>8989697390</v>
      </c>
      <c r="D8953" s="2">
        <v>1</v>
      </c>
      <c r="E8953" t="str">
        <f>"4574674200957702"</f>
        <v>4574674200957702</v>
      </c>
      <c r="F8953" t="str">
        <f>"541"</f>
        <v>541</v>
      </c>
      <c r="G8953">
        <v>1</v>
      </c>
      <c r="H8953">
        <v>2023</v>
      </c>
      <c r="I8953" t="s">
        <v>9068</v>
      </c>
    </row>
    <row r="8954" spans="1:9" x14ac:dyDescent="0.3">
      <c r="A8954" t="s">
        <v>10130</v>
      </c>
      <c r="B8954" t="s">
        <v>67</v>
      </c>
      <c r="C8954">
        <v>8989697390</v>
      </c>
      <c r="D8954" s="2">
        <v>1</v>
      </c>
      <c r="E8954" t="str">
        <f>"4574674200956902"</f>
        <v>4574674200956902</v>
      </c>
      <c r="F8954" t="str">
        <f>"143"</f>
        <v>143</v>
      </c>
      <c r="G8954">
        <v>1</v>
      </c>
      <c r="H8954">
        <v>2023</v>
      </c>
      <c r="I8954" t="s">
        <v>9069</v>
      </c>
    </row>
    <row r="8955" spans="1:9" x14ac:dyDescent="0.3">
      <c r="A8955" t="s">
        <v>10130</v>
      </c>
      <c r="B8955" t="s">
        <v>67</v>
      </c>
      <c r="C8955">
        <v>8989697390</v>
      </c>
      <c r="D8955" s="2">
        <v>1</v>
      </c>
      <c r="E8955" t="str">
        <f>"4574674200957777"</f>
        <v>4574674200957777</v>
      </c>
      <c r="F8955" t="str">
        <f>"929"</f>
        <v>929</v>
      </c>
      <c r="G8955">
        <v>1</v>
      </c>
      <c r="H8955">
        <v>2023</v>
      </c>
      <c r="I8955" t="s">
        <v>9070</v>
      </c>
    </row>
    <row r="8956" spans="1:9" x14ac:dyDescent="0.3">
      <c r="A8956" t="s">
        <v>10132</v>
      </c>
      <c r="B8956" t="s">
        <v>68</v>
      </c>
      <c r="C8956">
        <v>8989697390</v>
      </c>
      <c r="D8956" s="2">
        <v>1</v>
      </c>
      <c r="E8956" t="str">
        <f>"4574674200957793"</f>
        <v>4574674200957793</v>
      </c>
      <c r="F8956" t="str">
        <f>"357"</f>
        <v>357</v>
      </c>
      <c r="G8956">
        <v>1</v>
      </c>
      <c r="H8956">
        <v>2023</v>
      </c>
      <c r="I8956" t="s">
        <v>9071</v>
      </c>
    </row>
    <row r="8957" spans="1:9" x14ac:dyDescent="0.3">
      <c r="A8957" t="s">
        <v>10132</v>
      </c>
      <c r="B8957" t="s">
        <v>68</v>
      </c>
      <c r="C8957">
        <v>8989697390</v>
      </c>
      <c r="D8957" s="2">
        <v>1</v>
      </c>
      <c r="E8957" t="str">
        <f>"4574674200957876"</f>
        <v>4574674200957876</v>
      </c>
      <c r="F8957" t="str">
        <f>"370"</f>
        <v>370</v>
      </c>
      <c r="G8957">
        <v>1</v>
      </c>
      <c r="H8957">
        <v>2023</v>
      </c>
      <c r="I8957" t="s">
        <v>9072</v>
      </c>
    </row>
    <row r="8958" spans="1:9" x14ac:dyDescent="0.3">
      <c r="A8958" t="s">
        <v>10132</v>
      </c>
      <c r="B8958" t="s">
        <v>68</v>
      </c>
      <c r="C8958">
        <v>8989697390</v>
      </c>
      <c r="D8958" s="2">
        <v>1</v>
      </c>
      <c r="E8958" t="str">
        <f>"4574674200957835"</f>
        <v>4574674200957835</v>
      </c>
      <c r="F8958" t="str">
        <f>"551"</f>
        <v>551</v>
      </c>
      <c r="G8958">
        <v>1</v>
      </c>
      <c r="H8958">
        <v>2023</v>
      </c>
      <c r="I8958" t="s">
        <v>9073</v>
      </c>
    </row>
    <row r="8959" spans="1:9" x14ac:dyDescent="0.3">
      <c r="A8959" t="s">
        <v>10132</v>
      </c>
      <c r="B8959" t="s">
        <v>68</v>
      </c>
      <c r="C8959">
        <v>8989697390</v>
      </c>
      <c r="D8959" s="2">
        <v>1</v>
      </c>
      <c r="E8959" t="str">
        <f>"4574674200956910"</f>
        <v>4574674200956910</v>
      </c>
      <c r="F8959" t="str">
        <f>"243"</f>
        <v>243</v>
      </c>
      <c r="G8959">
        <v>1</v>
      </c>
      <c r="H8959">
        <v>2023</v>
      </c>
      <c r="I8959" t="s">
        <v>9074</v>
      </c>
    </row>
    <row r="8960" spans="1:9" x14ac:dyDescent="0.3">
      <c r="A8960" t="s">
        <v>10132</v>
      </c>
      <c r="B8960" t="s">
        <v>68</v>
      </c>
      <c r="C8960">
        <v>8989697390</v>
      </c>
      <c r="D8960" s="2">
        <v>1</v>
      </c>
      <c r="E8960" t="str">
        <f>"4574674200956928"</f>
        <v>4574674200956928</v>
      </c>
      <c r="F8960" t="str">
        <f>"365"</f>
        <v>365</v>
      </c>
      <c r="G8960">
        <v>1</v>
      </c>
      <c r="H8960">
        <v>2023</v>
      </c>
      <c r="I8960" t="s">
        <v>9075</v>
      </c>
    </row>
    <row r="8961" spans="1:9" x14ac:dyDescent="0.3">
      <c r="A8961" t="s">
        <v>10132</v>
      </c>
      <c r="B8961" t="s">
        <v>68</v>
      </c>
      <c r="C8961">
        <v>8989697390</v>
      </c>
      <c r="D8961" s="2">
        <v>1</v>
      </c>
      <c r="E8961" t="str">
        <f>"4574674200957934"</f>
        <v>4574674200957934</v>
      </c>
      <c r="F8961" t="str">
        <f>"361"</f>
        <v>361</v>
      </c>
      <c r="G8961">
        <v>1</v>
      </c>
      <c r="H8961">
        <v>2023</v>
      </c>
      <c r="I8961" t="s">
        <v>9076</v>
      </c>
    </row>
    <row r="8962" spans="1:9" x14ac:dyDescent="0.3">
      <c r="A8962" t="s">
        <v>10132</v>
      </c>
      <c r="B8962" t="s">
        <v>68</v>
      </c>
      <c r="C8962">
        <v>8989697390</v>
      </c>
      <c r="D8962" s="2">
        <v>1</v>
      </c>
      <c r="E8962" t="str">
        <f>"4574674200957975"</f>
        <v>4574674200957975</v>
      </c>
      <c r="F8962" t="str">
        <f>"159"</f>
        <v>159</v>
      </c>
      <c r="G8962">
        <v>1</v>
      </c>
      <c r="H8962">
        <v>2023</v>
      </c>
      <c r="I8962" t="s">
        <v>9077</v>
      </c>
    </row>
    <row r="8963" spans="1:9" x14ac:dyDescent="0.3">
      <c r="A8963" t="s">
        <v>10132</v>
      </c>
      <c r="B8963" t="s">
        <v>68</v>
      </c>
      <c r="C8963">
        <v>8989697390</v>
      </c>
      <c r="D8963" s="2">
        <v>1</v>
      </c>
      <c r="E8963" t="str">
        <f>"4574674200958007"</f>
        <v>4574674200958007</v>
      </c>
      <c r="F8963" t="str">
        <f>"532"</f>
        <v>532</v>
      </c>
      <c r="G8963">
        <v>1</v>
      </c>
      <c r="H8963">
        <v>2023</v>
      </c>
      <c r="I8963" t="s">
        <v>9078</v>
      </c>
    </row>
    <row r="8964" spans="1:9" x14ac:dyDescent="0.3">
      <c r="A8964" t="s">
        <v>10132</v>
      </c>
      <c r="B8964" t="s">
        <v>68</v>
      </c>
      <c r="C8964">
        <v>8989697390</v>
      </c>
      <c r="D8964" s="2">
        <v>1</v>
      </c>
      <c r="E8964" t="str">
        <f>"4574674200958015"</f>
        <v>4574674200958015</v>
      </c>
      <c r="F8964" t="str">
        <f>"932"</f>
        <v>932</v>
      </c>
      <c r="G8964">
        <v>1</v>
      </c>
      <c r="H8964">
        <v>2023</v>
      </c>
      <c r="I8964" t="s">
        <v>9079</v>
      </c>
    </row>
    <row r="8965" spans="1:9" x14ac:dyDescent="0.3">
      <c r="A8965" t="s">
        <v>10132</v>
      </c>
      <c r="B8965" t="s">
        <v>68</v>
      </c>
      <c r="C8965">
        <v>8989697390</v>
      </c>
      <c r="D8965" s="2">
        <v>1</v>
      </c>
      <c r="E8965" t="str">
        <f>"4574674200956944"</f>
        <v>4574674200956944</v>
      </c>
      <c r="F8965" t="str">
        <f>"706"</f>
        <v>706</v>
      </c>
      <c r="G8965">
        <v>1</v>
      </c>
      <c r="H8965">
        <v>2023</v>
      </c>
      <c r="I8965" t="s">
        <v>9080</v>
      </c>
    </row>
    <row r="8966" spans="1:9" x14ac:dyDescent="0.3">
      <c r="A8966" t="s">
        <v>10168</v>
      </c>
      <c r="B8966" t="s">
        <v>69</v>
      </c>
      <c r="C8966">
        <v>8989697390</v>
      </c>
      <c r="D8966" s="2">
        <v>1</v>
      </c>
      <c r="E8966" t="str">
        <f>"4574674200958114"</f>
        <v>4574674200958114</v>
      </c>
      <c r="F8966" t="str">
        <f>"751"</f>
        <v>751</v>
      </c>
      <c r="G8966">
        <v>1</v>
      </c>
      <c r="H8966">
        <v>2023</v>
      </c>
      <c r="I8966" t="s">
        <v>9081</v>
      </c>
    </row>
    <row r="8967" spans="1:9" x14ac:dyDescent="0.3">
      <c r="A8967" t="s">
        <v>10168</v>
      </c>
      <c r="B8967" t="s">
        <v>69</v>
      </c>
      <c r="C8967">
        <v>8989697390</v>
      </c>
      <c r="D8967" s="2">
        <v>1</v>
      </c>
      <c r="E8967" t="str">
        <f>"4574674200958130"</f>
        <v>4574674200958130</v>
      </c>
      <c r="F8967" t="str">
        <f>"379"</f>
        <v>379</v>
      </c>
      <c r="G8967">
        <v>1</v>
      </c>
      <c r="H8967">
        <v>2023</v>
      </c>
      <c r="I8967" t="s">
        <v>9082</v>
      </c>
    </row>
    <row r="8968" spans="1:9" x14ac:dyDescent="0.3">
      <c r="A8968" t="s">
        <v>10168</v>
      </c>
      <c r="B8968" t="s">
        <v>69</v>
      </c>
      <c r="C8968">
        <v>8989697390</v>
      </c>
      <c r="D8968" s="2">
        <v>1</v>
      </c>
      <c r="E8968" t="str">
        <f>"4574674200958163"</f>
        <v>4574674200958163</v>
      </c>
      <c r="F8968" t="str">
        <f>"743"</f>
        <v>743</v>
      </c>
      <c r="G8968">
        <v>1</v>
      </c>
      <c r="H8968">
        <v>2023</v>
      </c>
      <c r="I8968" t="s">
        <v>9083</v>
      </c>
    </row>
    <row r="8969" spans="1:9" x14ac:dyDescent="0.3">
      <c r="A8969" t="s">
        <v>10168</v>
      </c>
      <c r="B8969" t="s">
        <v>69</v>
      </c>
      <c r="C8969">
        <v>8989697390</v>
      </c>
      <c r="D8969" s="2">
        <v>1</v>
      </c>
      <c r="E8969" t="str">
        <f>"4574674200956951"</f>
        <v>4574674200956951</v>
      </c>
      <c r="F8969" t="str">
        <f>"928"</f>
        <v>928</v>
      </c>
      <c r="G8969">
        <v>1</v>
      </c>
      <c r="H8969">
        <v>2023</v>
      </c>
      <c r="I8969" t="s">
        <v>9084</v>
      </c>
    </row>
    <row r="8970" spans="1:9" x14ac:dyDescent="0.3">
      <c r="A8970" t="s">
        <v>10168</v>
      </c>
      <c r="B8970" t="s">
        <v>69</v>
      </c>
      <c r="C8970">
        <v>8989697390</v>
      </c>
      <c r="D8970" s="2">
        <v>1</v>
      </c>
      <c r="E8970" t="str">
        <f>"4574674200958205"</f>
        <v>4574674200958205</v>
      </c>
      <c r="F8970" t="str">
        <f>"016"</f>
        <v>016</v>
      </c>
      <c r="G8970">
        <v>1</v>
      </c>
      <c r="H8970">
        <v>2023</v>
      </c>
      <c r="I8970" t="s">
        <v>9085</v>
      </c>
    </row>
    <row r="8971" spans="1:9" x14ac:dyDescent="0.3">
      <c r="A8971" t="s">
        <v>10168</v>
      </c>
      <c r="B8971" t="s">
        <v>69</v>
      </c>
      <c r="C8971">
        <v>8989697390</v>
      </c>
      <c r="D8971" s="2">
        <v>1</v>
      </c>
      <c r="E8971" t="str">
        <f>"4574674200956969"</f>
        <v>4574674200956969</v>
      </c>
      <c r="F8971" t="str">
        <f>"529"</f>
        <v>529</v>
      </c>
      <c r="G8971">
        <v>1</v>
      </c>
      <c r="H8971">
        <v>2023</v>
      </c>
      <c r="I8971" t="s">
        <v>9086</v>
      </c>
    </row>
    <row r="8972" spans="1:9" x14ac:dyDescent="0.3">
      <c r="A8972" t="s">
        <v>10168</v>
      </c>
      <c r="B8972" t="s">
        <v>69</v>
      </c>
      <c r="C8972">
        <v>8989697390</v>
      </c>
      <c r="D8972" s="2">
        <v>1</v>
      </c>
      <c r="E8972" t="str">
        <f>"4574674200958288"</f>
        <v>4574674200958288</v>
      </c>
      <c r="F8972" t="str">
        <f>"544"</f>
        <v>544</v>
      </c>
      <c r="G8972">
        <v>1</v>
      </c>
      <c r="H8972">
        <v>2023</v>
      </c>
      <c r="I8972" t="s">
        <v>9087</v>
      </c>
    </row>
    <row r="8973" spans="1:9" x14ac:dyDescent="0.3">
      <c r="A8973" t="s">
        <v>10168</v>
      </c>
      <c r="B8973" t="s">
        <v>69</v>
      </c>
      <c r="C8973">
        <v>8989697390</v>
      </c>
      <c r="D8973" s="2">
        <v>1</v>
      </c>
      <c r="E8973" t="str">
        <f>"4574674200958304"</f>
        <v>4574674200958304</v>
      </c>
      <c r="F8973" t="str">
        <f>"280"</f>
        <v>280</v>
      </c>
      <c r="G8973">
        <v>1</v>
      </c>
      <c r="H8973">
        <v>2023</v>
      </c>
      <c r="I8973" t="s">
        <v>9088</v>
      </c>
    </row>
    <row r="8974" spans="1:9" x14ac:dyDescent="0.3">
      <c r="A8974" t="s">
        <v>10168</v>
      </c>
      <c r="B8974" t="s">
        <v>69</v>
      </c>
      <c r="C8974">
        <v>8989697390</v>
      </c>
      <c r="D8974" s="2">
        <v>1</v>
      </c>
      <c r="E8974" t="str">
        <f>"4574674200958338"</f>
        <v>4574674200958338</v>
      </c>
      <c r="F8974" t="str">
        <f>"999"</f>
        <v>999</v>
      </c>
      <c r="G8974">
        <v>1</v>
      </c>
      <c r="H8974">
        <v>2023</v>
      </c>
      <c r="I8974" t="s">
        <v>9089</v>
      </c>
    </row>
    <row r="8975" spans="1:9" x14ac:dyDescent="0.3">
      <c r="A8975" t="s">
        <v>10168</v>
      </c>
      <c r="B8975" t="s">
        <v>69</v>
      </c>
      <c r="C8975">
        <v>8989697390</v>
      </c>
      <c r="D8975" s="2">
        <v>1</v>
      </c>
      <c r="E8975" t="str">
        <f>"4574674200958353"</f>
        <v>4574674200958353</v>
      </c>
      <c r="F8975" t="str">
        <f>"077"</f>
        <v>077</v>
      </c>
      <c r="G8975">
        <v>1</v>
      </c>
      <c r="H8975">
        <v>2023</v>
      </c>
      <c r="I8975" t="s">
        <v>9090</v>
      </c>
    </row>
    <row r="8976" spans="1:9" x14ac:dyDescent="0.3">
      <c r="A8976" t="s">
        <v>10169</v>
      </c>
      <c r="B8976" t="s">
        <v>70</v>
      </c>
      <c r="C8976">
        <v>8989697390</v>
      </c>
      <c r="D8976" s="2">
        <v>1</v>
      </c>
      <c r="E8976" t="str">
        <f>"4574674200956985"</f>
        <v>4574674200956985</v>
      </c>
      <c r="F8976" t="str">
        <f>"338"</f>
        <v>338</v>
      </c>
      <c r="G8976">
        <v>1</v>
      </c>
      <c r="H8976">
        <v>2023</v>
      </c>
      <c r="I8976" t="s">
        <v>9091</v>
      </c>
    </row>
    <row r="8977" spans="1:9" x14ac:dyDescent="0.3">
      <c r="A8977" t="s">
        <v>10169</v>
      </c>
      <c r="B8977" t="s">
        <v>70</v>
      </c>
      <c r="C8977">
        <v>8989697390</v>
      </c>
      <c r="D8977" s="2">
        <v>1</v>
      </c>
      <c r="E8977" t="str">
        <f>"4574674200958429"</f>
        <v>4574674200958429</v>
      </c>
      <c r="F8977" t="str">
        <f>"932"</f>
        <v>932</v>
      </c>
      <c r="G8977">
        <v>1</v>
      </c>
      <c r="H8977">
        <v>2023</v>
      </c>
      <c r="I8977" t="s">
        <v>9092</v>
      </c>
    </row>
    <row r="8978" spans="1:9" x14ac:dyDescent="0.3">
      <c r="A8978" t="s">
        <v>10169</v>
      </c>
      <c r="B8978" t="s">
        <v>70</v>
      </c>
      <c r="C8978">
        <v>8989697390</v>
      </c>
      <c r="D8978" s="2">
        <v>1</v>
      </c>
      <c r="E8978" t="str">
        <f>"4574674200958478"</f>
        <v>4574674200958478</v>
      </c>
      <c r="F8978" t="str">
        <f>"141"</f>
        <v>141</v>
      </c>
      <c r="G8978">
        <v>1</v>
      </c>
      <c r="H8978">
        <v>2023</v>
      </c>
      <c r="I8978" t="s">
        <v>9093</v>
      </c>
    </row>
    <row r="8979" spans="1:9" x14ac:dyDescent="0.3">
      <c r="A8979" t="s">
        <v>10169</v>
      </c>
      <c r="B8979" t="s">
        <v>70</v>
      </c>
      <c r="C8979">
        <v>8989697390</v>
      </c>
      <c r="D8979" s="2">
        <v>1</v>
      </c>
      <c r="E8979" t="str">
        <f>"4574674200958486"</f>
        <v>4574674200958486</v>
      </c>
      <c r="F8979" t="str">
        <f>"525"</f>
        <v>525</v>
      </c>
      <c r="G8979">
        <v>1</v>
      </c>
      <c r="H8979">
        <v>2023</v>
      </c>
      <c r="I8979" t="s">
        <v>9094</v>
      </c>
    </row>
    <row r="8980" spans="1:9" x14ac:dyDescent="0.3">
      <c r="A8980" t="s">
        <v>10169</v>
      </c>
      <c r="B8980" t="s">
        <v>70</v>
      </c>
      <c r="C8980">
        <v>8989697390</v>
      </c>
      <c r="D8980" s="2">
        <v>1</v>
      </c>
      <c r="E8980" t="str">
        <f>"4574674200958536"</f>
        <v>4574674200958536</v>
      </c>
      <c r="F8980" t="str">
        <f>"628"</f>
        <v>628</v>
      </c>
      <c r="G8980">
        <v>1</v>
      </c>
      <c r="H8980">
        <v>2023</v>
      </c>
      <c r="I8980" t="s">
        <v>9095</v>
      </c>
    </row>
    <row r="8981" spans="1:9" x14ac:dyDescent="0.3">
      <c r="A8981" t="s">
        <v>10169</v>
      </c>
      <c r="B8981" t="s">
        <v>70</v>
      </c>
      <c r="C8981">
        <v>8989697390</v>
      </c>
      <c r="D8981" s="2">
        <v>1</v>
      </c>
      <c r="E8981" t="str">
        <f>"4574674200958593"</f>
        <v>4574674200958593</v>
      </c>
      <c r="F8981" t="str">
        <f>"537"</f>
        <v>537</v>
      </c>
      <c r="G8981">
        <v>1</v>
      </c>
      <c r="H8981">
        <v>2023</v>
      </c>
      <c r="I8981" t="s">
        <v>9096</v>
      </c>
    </row>
    <row r="8982" spans="1:9" x14ac:dyDescent="0.3">
      <c r="A8982" t="s">
        <v>10169</v>
      </c>
      <c r="B8982" t="s">
        <v>70</v>
      </c>
      <c r="C8982">
        <v>8989697390</v>
      </c>
      <c r="D8982" s="2">
        <v>1</v>
      </c>
      <c r="E8982" t="str">
        <f>"4574674200958627"</f>
        <v>4574674200958627</v>
      </c>
      <c r="F8982" t="str">
        <f>"115"</f>
        <v>115</v>
      </c>
      <c r="G8982">
        <v>1</v>
      </c>
      <c r="H8982">
        <v>2023</v>
      </c>
      <c r="I8982" t="s">
        <v>9097</v>
      </c>
    </row>
    <row r="8983" spans="1:9" x14ac:dyDescent="0.3">
      <c r="A8983" t="s">
        <v>10169</v>
      </c>
      <c r="B8983" t="s">
        <v>70</v>
      </c>
      <c r="C8983">
        <v>8989697390</v>
      </c>
      <c r="D8983" s="2">
        <v>1</v>
      </c>
      <c r="E8983" t="str">
        <f>"4574674200958650"</f>
        <v>4574674200958650</v>
      </c>
      <c r="F8983" t="str">
        <f>"424"</f>
        <v>424</v>
      </c>
      <c r="G8983">
        <v>1</v>
      </c>
      <c r="H8983">
        <v>2023</v>
      </c>
      <c r="I8983" t="s">
        <v>9098</v>
      </c>
    </row>
    <row r="8984" spans="1:9" x14ac:dyDescent="0.3">
      <c r="A8984" t="s">
        <v>10169</v>
      </c>
      <c r="B8984" t="s">
        <v>70</v>
      </c>
      <c r="C8984">
        <v>8989697390</v>
      </c>
      <c r="D8984" s="2">
        <v>1</v>
      </c>
      <c r="E8984" t="str">
        <f>"4574674200958809"</f>
        <v>4574674200958809</v>
      </c>
      <c r="F8984" t="str">
        <f>"951"</f>
        <v>951</v>
      </c>
      <c r="G8984">
        <v>1</v>
      </c>
      <c r="H8984">
        <v>2023</v>
      </c>
      <c r="I8984" t="s">
        <v>9099</v>
      </c>
    </row>
    <row r="8985" spans="1:9" x14ac:dyDescent="0.3">
      <c r="A8985" t="s">
        <v>10169</v>
      </c>
      <c r="B8985" t="s">
        <v>70</v>
      </c>
      <c r="C8985">
        <v>8989697390</v>
      </c>
      <c r="D8985" s="2">
        <v>1</v>
      </c>
      <c r="E8985" t="str">
        <f>"4574674200956993"</f>
        <v>4574674200956993</v>
      </c>
      <c r="F8985" t="str">
        <f>"759"</f>
        <v>759</v>
      </c>
      <c r="G8985">
        <v>1</v>
      </c>
      <c r="H8985">
        <v>2023</v>
      </c>
      <c r="I8985" t="s">
        <v>9100</v>
      </c>
    </row>
    <row r="8986" spans="1:9" x14ac:dyDescent="0.3">
      <c r="A8986" t="s">
        <v>10128</v>
      </c>
      <c r="B8986" t="s">
        <v>71</v>
      </c>
      <c r="C8986">
        <v>8989697390</v>
      </c>
      <c r="D8986" s="2">
        <v>1</v>
      </c>
      <c r="E8986" t="str">
        <f>"4574674200958718"</f>
        <v>4574674200958718</v>
      </c>
      <c r="F8986" t="str">
        <f>"725"</f>
        <v>725</v>
      </c>
      <c r="G8986">
        <v>1</v>
      </c>
      <c r="H8986">
        <v>2023</v>
      </c>
      <c r="I8986" t="s">
        <v>9101</v>
      </c>
    </row>
    <row r="8987" spans="1:9" x14ac:dyDescent="0.3">
      <c r="A8987" t="s">
        <v>10128</v>
      </c>
      <c r="B8987" t="s">
        <v>71</v>
      </c>
      <c r="C8987">
        <v>8989697390</v>
      </c>
      <c r="D8987" s="2">
        <v>1</v>
      </c>
      <c r="E8987" t="str">
        <f>"4574674200958817"</f>
        <v>4574674200958817</v>
      </c>
      <c r="F8987" t="str">
        <f>"383"</f>
        <v>383</v>
      </c>
      <c r="G8987">
        <v>1</v>
      </c>
      <c r="H8987">
        <v>2023</v>
      </c>
      <c r="I8987" t="s">
        <v>9102</v>
      </c>
    </row>
    <row r="8988" spans="1:9" x14ac:dyDescent="0.3">
      <c r="A8988" t="s">
        <v>10128</v>
      </c>
      <c r="B8988" t="s">
        <v>71</v>
      </c>
      <c r="C8988">
        <v>8989697390</v>
      </c>
      <c r="D8988" s="2">
        <v>1</v>
      </c>
      <c r="E8988" t="str">
        <f>"4574674200959005"</f>
        <v>4574674200959005</v>
      </c>
      <c r="F8988" t="str">
        <f>"565"</f>
        <v>565</v>
      </c>
      <c r="G8988">
        <v>1</v>
      </c>
      <c r="H8988">
        <v>2023</v>
      </c>
      <c r="I8988" t="s">
        <v>9103</v>
      </c>
    </row>
    <row r="8989" spans="1:9" x14ac:dyDescent="0.3">
      <c r="A8989" t="s">
        <v>10128</v>
      </c>
      <c r="B8989" t="s">
        <v>71</v>
      </c>
      <c r="C8989">
        <v>8989697390</v>
      </c>
      <c r="D8989" s="2">
        <v>1</v>
      </c>
      <c r="E8989" t="str">
        <f>"4574674200958783"</f>
        <v>4574674200958783</v>
      </c>
      <c r="F8989" t="str">
        <f>"025"</f>
        <v>025</v>
      </c>
      <c r="G8989">
        <v>1</v>
      </c>
      <c r="H8989">
        <v>2023</v>
      </c>
      <c r="I8989" t="s">
        <v>9104</v>
      </c>
    </row>
    <row r="8990" spans="1:9" x14ac:dyDescent="0.3">
      <c r="A8990" t="s">
        <v>10128</v>
      </c>
      <c r="B8990" t="s">
        <v>71</v>
      </c>
      <c r="C8990">
        <v>8989697390</v>
      </c>
      <c r="D8990" s="2">
        <v>1</v>
      </c>
      <c r="E8990" t="str">
        <f>"4574674200958791"</f>
        <v>4574674200958791</v>
      </c>
      <c r="F8990" t="str">
        <f>"539"</f>
        <v>539</v>
      </c>
      <c r="G8990">
        <v>1</v>
      </c>
      <c r="H8990">
        <v>2023</v>
      </c>
      <c r="I8990" t="s">
        <v>9105</v>
      </c>
    </row>
    <row r="8991" spans="1:9" x14ac:dyDescent="0.3">
      <c r="A8991" t="s">
        <v>10128</v>
      </c>
      <c r="B8991" t="s">
        <v>71</v>
      </c>
      <c r="C8991">
        <v>8989697390</v>
      </c>
      <c r="D8991" s="2">
        <v>1</v>
      </c>
      <c r="E8991" t="str">
        <f>"4574674200959047"</f>
        <v>4574674200959047</v>
      </c>
      <c r="F8991" t="str">
        <f>"960"</f>
        <v>960</v>
      </c>
      <c r="G8991">
        <v>1</v>
      </c>
      <c r="H8991">
        <v>2023</v>
      </c>
      <c r="I8991" t="s">
        <v>9106</v>
      </c>
    </row>
    <row r="8992" spans="1:9" x14ac:dyDescent="0.3">
      <c r="A8992" t="s">
        <v>10128</v>
      </c>
      <c r="B8992" t="s">
        <v>71</v>
      </c>
      <c r="C8992">
        <v>8989697390</v>
      </c>
      <c r="D8992" s="2">
        <v>1</v>
      </c>
      <c r="E8992" t="str">
        <f>"4574674200958833"</f>
        <v>4574674200958833</v>
      </c>
      <c r="F8992" t="str">
        <f>"913"</f>
        <v>913</v>
      </c>
      <c r="G8992">
        <v>1</v>
      </c>
      <c r="H8992">
        <v>2023</v>
      </c>
      <c r="I8992" t="s">
        <v>9107</v>
      </c>
    </row>
    <row r="8993" spans="1:9" x14ac:dyDescent="0.3">
      <c r="A8993" t="s">
        <v>10128</v>
      </c>
      <c r="B8993" t="s">
        <v>71</v>
      </c>
      <c r="C8993">
        <v>8989697390</v>
      </c>
      <c r="D8993" s="2">
        <v>1</v>
      </c>
      <c r="E8993" t="str">
        <f>"4574674200958841"</f>
        <v>4574674200958841</v>
      </c>
      <c r="F8993" t="str">
        <f>"560"</f>
        <v>560</v>
      </c>
      <c r="G8993">
        <v>1</v>
      </c>
      <c r="H8993">
        <v>2023</v>
      </c>
      <c r="I8993" t="s">
        <v>9108</v>
      </c>
    </row>
    <row r="8994" spans="1:9" x14ac:dyDescent="0.3">
      <c r="A8994" t="s">
        <v>10128</v>
      </c>
      <c r="B8994" t="s">
        <v>71</v>
      </c>
      <c r="C8994">
        <v>8989697390</v>
      </c>
      <c r="D8994" s="2">
        <v>1</v>
      </c>
      <c r="E8994" t="str">
        <f>"4574674200958858"</f>
        <v>4574674200958858</v>
      </c>
      <c r="F8994" t="str">
        <f>"740"</f>
        <v>740</v>
      </c>
      <c r="G8994">
        <v>1</v>
      </c>
      <c r="H8994">
        <v>2023</v>
      </c>
      <c r="I8994" t="s">
        <v>9109</v>
      </c>
    </row>
    <row r="8995" spans="1:9" x14ac:dyDescent="0.3">
      <c r="A8995" t="s">
        <v>10128</v>
      </c>
      <c r="B8995" t="s">
        <v>71</v>
      </c>
      <c r="C8995">
        <v>8989697390</v>
      </c>
      <c r="D8995" s="2">
        <v>1</v>
      </c>
      <c r="E8995" t="str">
        <f>"4574674200959112"</f>
        <v>4574674200959112</v>
      </c>
      <c r="F8995" t="str">
        <f>"718"</f>
        <v>718</v>
      </c>
      <c r="G8995">
        <v>1</v>
      </c>
      <c r="H8995">
        <v>2023</v>
      </c>
      <c r="I8995" t="s">
        <v>9110</v>
      </c>
    </row>
    <row r="8996" spans="1:9" x14ac:dyDescent="0.3">
      <c r="A8996" t="s">
        <v>10129</v>
      </c>
      <c r="B8996" t="s">
        <v>72</v>
      </c>
      <c r="C8996">
        <v>8989697390</v>
      </c>
      <c r="D8996" s="2">
        <v>1</v>
      </c>
      <c r="E8996" t="str">
        <f>"4574674200959138"</f>
        <v>4574674200959138</v>
      </c>
      <c r="F8996" t="str">
        <f>"187"</f>
        <v>187</v>
      </c>
      <c r="G8996">
        <v>1</v>
      </c>
      <c r="H8996">
        <v>2023</v>
      </c>
      <c r="I8996" t="s">
        <v>9111</v>
      </c>
    </row>
    <row r="8997" spans="1:9" x14ac:dyDescent="0.3">
      <c r="A8997" t="s">
        <v>10129</v>
      </c>
      <c r="B8997" t="s">
        <v>72</v>
      </c>
      <c r="C8997">
        <v>8989697390</v>
      </c>
      <c r="D8997" s="2">
        <v>1</v>
      </c>
      <c r="E8997" t="str">
        <f>"4574674200959237"</f>
        <v>4574674200959237</v>
      </c>
      <c r="F8997" t="str">
        <f>"603"</f>
        <v>603</v>
      </c>
      <c r="G8997">
        <v>1</v>
      </c>
      <c r="H8997">
        <v>2023</v>
      </c>
      <c r="I8997" t="s">
        <v>9112</v>
      </c>
    </row>
    <row r="8998" spans="1:9" x14ac:dyDescent="0.3">
      <c r="A8998" t="s">
        <v>10129</v>
      </c>
      <c r="B8998" t="s">
        <v>72</v>
      </c>
      <c r="C8998">
        <v>8989697390</v>
      </c>
      <c r="D8998" s="2">
        <v>1</v>
      </c>
      <c r="E8998" t="str">
        <f>"4574674200959245"</f>
        <v>4574674200959245</v>
      </c>
      <c r="F8998" t="str">
        <f>"678"</f>
        <v>678</v>
      </c>
      <c r="G8998">
        <v>1</v>
      </c>
      <c r="H8998">
        <v>2023</v>
      </c>
      <c r="I8998" t="s">
        <v>9113</v>
      </c>
    </row>
    <row r="8999" spans="1:9" x14ac:dyDescent="0.3">
      <c r="A8999" t="s">
        <v>10129</v>
      </c>
      <c r="B8999" t="s">
        <v>72</v>
      </c>
      <c r="C8999">
        <v>8989697390</v>
      </c>
      <c r="D8999" s="2">
        <v>1</v>
      </c>
      <c r="E8999" t="str">
        <f>"4574674200959294"</f>
        <v>4574674200959294</v>
      </c>
      <c r="F8999" t="str">
        <f>"892"</f>
        <v>892</v>
      </c>
      <c r="G8999">
        <v>1</v>
      </c>
      <c r="H8999">
        <v>2023</v>
      </c>
      <c r="I8999" t="s">
        <v>9114</v>
      </c>
    </row>
    <row r="9000" spans="1:9" x14ac:dyDescent="0.3">
      <c r="A9000" t="s">
        <v>10129</v>
      </c>
      <c r="B9000" t="s">
        <v>72</v>
      </c>
      <c r="C9000">
        <v>8989697390</v>
      </c>
      <c r="D9000" s="2">
        <v>1</v>
      </c>
      <c r="E9000" t="str">
        <f>"4574674200959351"</f>
        <v>4574674200959351</v>
      </c>
      <c r="F9000" t="str">
        <f>"697"</f>
        <v>697</v>
      </c>
      <c r="G9000">
        <v>1</v>
      </c>
      <c r="H9000">
        <v>2023</v>
      </c>
      <c r="I9000" t="s">
        <v>9115</v>
      </c>
    </row>
    <row r="9001" spans="1:9" x14ac:dyDescent="0.3">
      <c r="A9001" t="s">
        <v>10129</v>
      </c>
      <c r="B9001" t="s">
        <v>72</v>
      </c>
      <c r="C9001">
        <v>8989697390</v>
      </c>
      <c r="D9001" s="2">
        <v>1</v>
      </c>
      <c r="E9001" t="str">
        <f>"4574674200959369"</f>
        <v>4574674200959369</v>
      </c>
      <c r="F9001" t="str">
        <f>"792"</f>
        <v>792</v>
      </c>
      <c r="G9001">
        <v>1</v>
      </c>
      <c r="H9001">
        <v>2023</v>
      </c>
      <c r="I9001" t="s">
        <v>9116</v>
      </c>
    </row>
    <row r="9002" spans="1:9" x14ac:dyDescent="0.3">
      <c r="A9002" t="s">
        <v>10129</v>
      </c>
      <c r="B9002" t="s">
        <v>72</v>
      </c>
      <c r="C9002">
        <v>8989697390</v>
      </c>
      <c r="D9002" s="2">
        <v>1</v>
      </c>
      <c r="E9002" t="str">
        <f>"4574674200959419"</f>
        <v>4574674200959419</v>
      </c>
      <c r="F9002" t="str">
        <f>"073"</f>
        <v>073</v>
      </c>
      <c r="G9002">
        <v>1</v>
      </c>
      <c r="H9002">
        <v>2023</v>
      </c>
      <c r="I9002" t="s">
        <v>9117</v>
      </c>
    </row>
    <row r="9003" spans="1:9" x14ac:dyDescent="0.3">
      <c r="A9003" t="s">
        <v>10129</v>
      </c>
      <c r="B9003" t="s">
        <v>72</v>
      </c>
      <c r="C9003">
        <v>8989697390</v>
      </c>
      <c r="D9003" s="2">
        <v>1</v>
      </c>
      <c r="E9003" t="str">
        <f>"4574674200958874"</f>
        <v>4574674200958874</v>
      </c>
      <c r="F9003" t="str">
        <f>"192"</f>
        <v>192</v>
      </c>
      <c r="G9003">
        <v>1</v>
      </c>
      <c r="H9003">
        <v>2023</v>
      </c>
      <c r="I9003" t="s">
        <v>9118</v>
      </c>
    </row>
    <row r="9004" spans="1:9" x14ac:dyDescent="0.3">
      <c r="A9004" t="s">
        <v>10129</v>
      </c>
      <c r="B9004" t="s">
        <v>72</v>
      </c>
      <c r="C9004">
        <v>8989697390</v>
      </c>
      <c r="D9004" s="2">
        <v>1</v>
      </c>
      <c r="E9004" t="str">
        <f>"4574674200958882"</f>
        <v>4574674200958882</v>
      </c>
      <c r="F9004" t="str">
        <f>"615"</f>
        <v>615</v>
      </c>
      <c r="G9004">
        <v>1</v>
      </c>
      <c r="H9004">
        <v>2023</v>
      </c>
      <c r="I9004" t="s">
        <v>9119</v>
      </c>
    </row>
    <row r="9005" spans="1:9" x14ac:dyDescent="0.3">
      <c r="A9005" t="s">
        <v>10129</v>
      </c>
      <c r="B9005" t="s">
        <v>72</v>
      </c>
      <c r="C9005">
        <v>8989697390</v>
      </c>
      <c r="D9005" s="2">
        <v>1</v>
      </c>
      <c r="E9005" t="str">
        <f>"4574674200958890"</f>
        <v>4574674200958890</v>
      </c>
      <c r="F9005" t="str">
        <f>"047"</f>
        <v>047</v>
      </c>
      <c r="G9005">
        <v>1</v>
      </c>
      <c r="H9005">
        <v>2023</v>
      </c>
      <c r="I9005" t="s">
        <v>9120</v>
      </c>
    </row>
    <row r="9006" spans="1:9" x14ac:dyDescent="0.3">
      <c r="A9006" t="s">
        <v>10170</v>
      </c>
      <c r="B9006" t="s">
        <v>73</v>
      </c>
      <c r="C9006">
        <v>8989697390</v>
      </c>
      <c r="D9006" s="2">
        <v>1</v>
      </c>
      <c r="E9006" t="str">
        <f>"4574674200959468"</f>
        <v>4574674200959468</v>
      </c>
      <c r="F9006" t="str">
        <f>"063"</f>
        <v>063</v>
      </c>
      <c r="G9006">
        <v>1</v>
      </c>
      <c r="H9006">
        <v>2023</v>
      </c>
      <c r="I9006" t="s">
        <v>9121</v>
      </c>
    </row>
    <row r="9007" spans="1:9" x14ac:dyDescent="0.3">
      <c r="A9007" t="s">
        <v>10170</v>
      </c>
      <c r="B9007" t="s">
        <v>73</v>
      </c>
      <c r="C9007">
        <v>8989697390</v>
      </c>
      <c r="D9007" s="2">
        <v>1</v>
      </c>
      <c r="E9007" t="str">
        <f>"4574674200959583"</f>
        <v>4574674200959583</v>
      </c>
      <c r="F9007" t="str">
        <f>"699"</f>
        <v>699</v>
      </c>
      <c r="G9007">
        <v>1</v>
      </c>
      <c r="H9007">
        <v>2023</v>
      </c>
      <c r="I9007" t="s">
        <v>9122</v>
      </c>
    </row>
    <row r="9008" spans="1:9" x14ac:dyDescent="0.3">
      <c r="A9008" t="s">
        <v>10170</v>
      </c>
      <c r="B9008" t="s">
        <v>73</v>
      </c>
      <c r="C9008">
        <v>8989697390</v>
      </c>
      <c r="D9008" s="2">
        <v>1</v>
      </c>
      <c r="E9008" t="str">
        <f>"4574674200959559"</f>
        <v>4574674200959559</v>
      </c>
      <c r="F9008" t="str">
        <f>"314"</f>
        <v>314</v>
      </c>
      <c r="G9008">
        <v>1</v>
      </c>
      <c r="H9008">
        <v>2023</v>
      </c>
      <c r="I9008" t="s">
        <v>9123</v>
      </c>
    </row>
    <row r="9009" spans="1:9" x14ac:dyDescent="0.3">
      <c r="A9009" t="s">
        <v>10170</v>
      </c>
      <c r="B9009" t="s">
        <v>73</v>
      </c>
      <c r="C9009">
        <v>8989697390</v>
      </c>
      <c r="D9009" s="2">
        <v>1</v>
      </c>
      <c r="E9009" t="str">
        <f>"4574674200959609"</f>
        <v>4574674200959609</v>
      </c>
      <c r="F9009" t="str">
        <f>"198"</f>
        <v>198</v>
      </c>
      <c r="G9009">
        <v>1</v>
      </c>
      <c r="H9009">
        <v>2023</v>
      </c>
      <c r="I9009" t="s">
        <v>9124</v>
      </c>
    </row>
    <row r="9010" spans="1:9" x14ac:dyDescent="0.3">
      <c r="A9010" t="s">
        <v>10170</v>
      </c>
      <c r="B9010" t="s">
        <v>73</v>
      </c>
      <c r="C9010">
        <v>8989697390</v>
      </c>
      <c r="D9010" s="2">
        <v>1</v>
      </c>
      <c r="E9010" t="str">
        <f>"4574674200959625"</f>
        <v>4574674200959625</v>
      </c>
      <c r="F9010" t="str">
        <f>"951"</f>
        <v>951</v>
      </c>
      <c r="G9010">
        <v>1</v>
      </c>
      <c r="H9010">
        <v>2023</v>
      </c>
      <c r="I9010" t="s">
        <v>9125</v>
      </c>
    </row>
    <row r="9011" spans="1:9" x14ac:dyDescent="0.3">
      <c r="A9011" t="s">
        <v>10170</v>
      </c>
      <c r="B9011" t="s">
        <v>73</v>
      </c>
      <c r="C9011">
        <v>8989697390</v>
      </c>
      <c r="D9011" s="2">
        <v>1</v>
      </c>
      <c r="E9011" t="str">
        <f>"4574674200959740"</f>
        <v>4574674200959740</v>
      </c>
      <c r="F9011" t="str">
        <f>"683"</f>
        <v>683</v>
      </c>
      <c r="G9011">
        <v>1</v>
      </c>
      <c r="H9011">
        <v>2023</v>
      </c>
      <c r="I9011" t="s">
        <v>9126</v>
      </c>
    </row>
    <row r="9012" spans="1:9" x14ac:dyDescent="0.3">
      <c r="A9012" t="s">
        <v>10170</v>
      </c>
      <c r="B9012" t="s">
        <v>73</v>
      </c>
      <c r="C9012">
        <v>8989697390</v>
      </c>
      <c r="D9012" s="2">
        <v>1</v>
      </c>
      <c r="E9012" t="str">
        <f>"4574674200959765"</f>
        <v>4574674200959765</v>
      </c>
      <c r="F9012" t="str">
        <f>"467"</f>
        <v>467</v>
      </c>
      <c r="G9012">
        <v>1</v>
      </c>
      <c r="H9012">
        <v>2023</v>
      </c>
      <c r="I9012" t="s">
        <v>9127</v>
      </c>
    </row>
    <row r="9013" spans="1:9" x14ac:dyDescent="0.3">
      <c r="A9013" t="s">
        <v>10170</v>
      </c>
      <c r="B9013" t="s">
        <v>73</v>
      </c>
      <c r="C9013">
        <v>8989697390</v>
      </c>
      <c r="D9013" s="2">
        <v>1</v>
      </c>
      <c r="E9013" t="str">
        <f>"4574674200959757"</f>
        <v>4574674200959757</v>
      </c>
      <c r="F9013" t="str">
        <f>"191"</f>
        <v>191</v>
      </c>
      <c r="G9013">
        <v>1</v>
      </c>
      <c r="H9013">
        <v>2023</v>
      </c>
      <c r="I9013" t="s">
        <v>9128</v>
      </c>
    </row>
    <row r="9014" spans="1:9" x14ac:dyDescent="0.3">
      <c r="A9014" t="s">
        <v>10170</v>
      </c>
      <c r="B9014" t="s">
        <v>73</v>
      </c>
      <c r="C9014">
        <v>8989697390</v>
      </c>
      <c r="D9014" s="2">
        <v>1</v>
      </c>
      <c r="E9014" t="str">
        <f>"4574674200958916"</f>
        <v>4574674200958916</v>
      </c>
      <c r="F9014" t="str">
        <f>"538"</f>
        <v>538</v>
      </c>
      <c r="G9014">
        <v>1</v>
      </c>
      <c r="H9014">
        <v>2023</v>
      </c>
      <c r="I9014" t="s">
        <v>9129</v>
      </c>
    </row>
    <row r="9015" spans="1:9" x14ac:dyDescent="0.3">
      <c r="A9015" t="s">
        <v>10170</v>
      </c>
      <c r="B9015" t="s">
        <v>73</v>
      </c>
      <c r="C9015">
        <v>8989697390</v>
      </c>
      <c r="D9015" s="2">
        <v>1</v>
      </c>
      <c r="E9015" t="str">
        <f>"4574674200958932"</f>
        <v>4574674200958932</v>
      </c>
      <c r="F9015" t="str">
        <f>"234"</f>
        <v>234</v>
      </c>
      <c r="G9015">
        <v>1</v>
      </c>
      <c r="H9015">
        <v>2023</v>
      </c>
      <c r="I9015" t="s">
        <v>9130</v>
      </c>
    </row>
    <row r="9016" spans="1:9" x14ac:dyDescent="0.3">
      <c r="A9016" t="s">
        <v>10171</v>
      </c>
      <c r="B9016" t="s">
        <v>74</v>
      </c>
      <c r="C9016">
        <v>8989697390</v>
      </c>
      <c r="D9016" s="2">
        <v>1</v>
      </c>
      <c r="E9016" t="str">
        <f>"4574674200958924"</f>
        <v>4574674200958924</v>
      </c>
      <c r="F9016" t="str">
        <f>"222"</f>
        <v>222</v>
      </c>
      <c r="G9016">
        <v>1</v>
      </c>
      <c r="H9016">
        <v>2023</v>
      </c>
      <c r="I9016" t="s">
        <v>9131</v>
      </c>
    </row>
    <row r="9017" spans="1:9" x14ac:dyDescent="0.3">
      <c r="A9017" t="s">
        <v>10171</v>
      </c>
      <c r="B9017" t="s">
        <v>74</v>
      </c>
      <c r="C9017">
        <v>8989697390</v>
      </c>
      <c r="D9017" s="2">
        <v>1</v>
      </c>
      <c r="E9017" t="str">
        <f>"4574674200959864"</f>
        <v>4574674200959864</v>
      </c>
      <c r="F9017" t="str">
        <f>"715"</f>
        <v>715</v>
      </c>
      <c r="G9017">
        <v>1</v>
      </c>
      <c r="H9017">
        <v>2023</v>
      </c>
      <c r="I9017" t="s">
        <v>9132</v>
      </c>
    </row>
    <row r="9018" spans="1:9" x14ac:dyDescent="0.3">
      <c r="A9018" t="s">
        <v>10171</v>
      </c>
      <c r="B9018" t="s">
        <v>74</v>
      </c>
      <c r="C9018">
        <v>8989697390</v>
      </c>
      <c r="D9018" s="2">
        <v>1</v>
      </c>
      <c r="E9018" t="str">
        <f>"4574674200959914"</f>
        <v>4574674200959914</v>
      </c>
      <c r="F9018" t="str">
        <f>"352"</f>
        <v>352</v>
      </c>
      <c r="G9018">
        <v>1</v>
      </c>
      <c r="H9018">
        <v>2023</v>
      </c>
      <c r="I9018" t="s">
        <v>9133</v>
      </c>
    </row>
    <row r="9019" spans="1:9" x14ac:dyDescent="0.3">
      <c r="A9019" t="s">
        <v>10171</v>
      </c>
      <c r="B9019" t="s">
        <v>74</v>
      </c>
      <c r="C9019">
        <v>8989697390</v>
      </c>
      <c r="D9019" s="2">
        <v>1</v>
      </c>
      <c r="E9019" t="str">
        <f>"4574674200959922"</f>
        <v>4574674200959922</v>
      </c>
      <c r="F9019" t="str">
        <f>"818"</f>
        <v>818</v>
      </c>
      <c r="G9019">
        <v>1</v>
      </c>
      <c r="H9019">
        <v>2023</v>
      </c>
      <c r="I9019" t="s">
        <v>9134</v>
      </c>
    </row>
    <row r="9020" spans="1:9" x14ac:dyDescent="0.3">
      <c r="A9020" t="s">
        <v>10171</v>
      </c>
      <c r="B9020" t="s">
        <v>74</v>
      </c>
      <c r="C9020">
        <v>8989697390</v>
      </c>
      <c r="D9020" s="2">
        <v>1</v>
      </c>
      <c r="E9020" t="str">
        <f>"4574674200959930"</f>
        <v>4574674200959930</v>
      </c>
      <c r="F9020" t="str">
        <f>"244"</f>
        <v>244</v>
      </c>
      <c r="G9020">
        <v>1</v>
      </c>
      <c r="H9020">
        <v>2023</v>
      </c>
      <c r="I9020" t="s">
        <v>9135</v>
      </c>
    </row>
    <row r="9021" spans="1:9" x14ac:dyDescent="0.3">
      <c r="A9021" t="s">
        <v>10171</v>
      </c>
      <c r="B9021" t="s">
        <v>74</v>
      </c>
      <c r="C9021">
        <v>8989697390</v>
      </c>
      <c r="D9021" s="2">
        <v>1</v>
      </c>
      <c r="E9021" t="str">
        <f>"4574674200960045"</f>
        <v>4574674200960045</v>
      </c>
      <c r="F9021" t="str">
        <f>"434"</f>
        <v>434</v>
      </c>
      <c r="G9021">
        <v>1</v>
      </c>
      <c r="H9021">
        <v>2023</v>
      </c>
      <c r="I9021" t="s">
        <v>9136</v>
      </c>
    </row>
    <row r="9022" spans="1:9" x14ac:dyDescent="0.3">
      <c r="A9022" t="s">
        <v>10171</v>
      </c>
      <c r="B9022" t="s">
        <v>74</v>
      </c>
      <c r="C9022">
        <v>8989697390</v>
      </c>
      <c r="D9022" s="2">
        <v>1</v>
      </c>
      <c r="E9022" t="str">
        <f>"4574674200960086"</f>
        <v>4574674200960086</v>
      </c>
      <c r="F9022" t="str">
        <f>"604"</f>
        <v>604</v>
      </c>
      <c r="G9022">
        <v>1</v>
      </c>
      <c r="H9022">
        <v>2023</v>
      </c>
      <c r="I9022" t="s">
        <v>9137</v>
      </c>
    </row>
    <row r="9023" spans="1:9" x14ac:dyDescent="0.3">
      <c r="A9023" t="s">
        <v>10171</v>
      </c>
      <c r="B9023" t="s">
        <v>74</v>
      </c>
      <c r="C9023">
        <v>8989697390</v>
      </c>
      <c r="D9023" s="2">
        <v>1</v>
      </c>
      <c r="E9023" t="str">
        <f>"4574674200960102"</f>
        <v>4574674200960102</v>
      </c>
      <c r="F9023" t="str">
        <f>"448"</f>
        <v>448</v>
      </c>
      <c r="G9023">
        <v>1</v>
      </c>
      <c r="H9023">
        <v>2023</v>
      </c>
      <c r="I9023" t="s">
        <v>9138</v>
      </c>
    </row>
    <row r="9024" spans="1:9" x14ac:dyDescent="0.3">
      <c r="A9024" t="s">
        <v>10171</v>
      </c>
      <c r="B9024" t="s">
        <v>74</v>
      </c>
      <c r="C9024">
        <v>8989697390</v>
      </c>
      <c r="D9024" s="2">
        <v>1</v>
      </c>
      <c r="E9024" t="str">
        <f>"4574674200958957"</f>
        <v>4574674200958957</v>
      </c>
      <c r="F9024" t="str">
        <f>"419"</f>
        <v>419</v>
      </c>
      <c r="G9024">
        <v>1</v>
      </c>
      <c r="H9024">
        <v>2023</v>
      </c>
      <c r="I9024" t="s">
        <v>9139</v>
      </c>
    </row>
    <row r="9025" spans="1:9" x14ac:dyDescent="0.3">
      <c r="A9025" t="s">
        <v>10171</v>
      </c>
      <c r="B9025" t="s">
        <v>74</v>
      </c>
      <c r="C9025">
        <v>8989697390</v>
      </c>
      <c r="D9025" s="2">
        <v>1</v>
      </c>
      <c r="E9025" t="str">
        <f>"4574674200958965"</f>
        <v>4574674200958965</v>
      </c>
      <c r="F9025" t="str">
        <f>"453"</f>
        <v>453</v>
      </c>
      <c r="G9025">
        <v>1</v>
      </c>
      <c r="H9025">
        <v>2023</v>
      </c>
      <c r="I9025" t="s">
        <v>9140</v>
      </c>
    </row>
    <row r="9026" spans="1:9" x14ac:dyDescent="0.3">
      <c r="A9026" t="s">
        <v>10172</v>
      </c>
      <c r="B9026" t="s">
        <v>75</v>
      </c>
      <c r="C9026">
        <v>8989697390</v>
      </c>
      <c r="D9026" s="2">
        <v>1</v>
      </c>
      <c r="E9026" t="str">
        <f>"4574674200958973"</f>
        <v>4574674200958973</v>
      </c>
      <c r="F9026" t="str">
        <f>"922"</f>
        <v>922</v>
      </c>
      <c r="G9026">
        <v>1</v>
      </c>
      <c r="H9026">
        <v>2023</v>
      </c>
      <c r="I9026" t="s">
        <v>9141</v>
      </c>
    </row>
    <row r="9027" spans="1:9" x14ac:dyDescent="0.3">
      <c r="A9027" t="s">
        <v>10172</v>
      </c>
      <c r="B9027" t="s">
        <v>75</v>
      </c>
      <c r="C9027">
        <v>8989697390</v>
      </c>
      <c r="D9027" s="2">
        <v>1</v>
      </c>
      <c r="E9027" t="str">
        <f>"4574674200960144"</f>
        <v>4574674200960144</v>
      </c>
      <c r="F9027" t="str">
        <f>"194"</f>
        <v>194</v>
      </c>
      <c r="G9027">
        <v>1</v>
      </c>
      <c r="H9027">
        <v>2023</v>
      </c>
      <c r="I9027" t="s">
        <v>9142</v>
      </c>
    </row>
    <row r="9028" spans="1:9" x14ac:dyDescent="0.3">
      <c r="A9028" t="s">
        <v>10172</v>
      </c>
      <c r="B9028" t="s">
        <v>75</v>
      </c>
      <c r="C9028">
        <v>8989697390</v>
      </c>
      <c r="D9028" s="2">
        <v>1</v>
      </c>
      <c r="E9028" t="str">
        <f>"4574674200960250"</f>
        <v>4574674200960250</v>
      </c>
      <c r="F9028" t="str">
        <f>"368"</f>
        <v>368</v>
      </c>
      <c r="G9028">
        <v>1</v>
      </c>
      <c r="H9028">
        <v>2023</v>
      </c>
      <c r="I9028" t="s">
        <v>9143</v>
      </c>
    </row>
    <row r="9029" spans="1:9" x14ac:dyDescent="0.3">
      <c r="A9029" t="s">
        <v>10172</v>
      </c>
      <c r="B9029" t="s">
        <v>75</v>
      </c>
      <c r="C9029">
        <v>8989697390</v>
      </c>
      <c r="D9029" s="2">
        <v>1</v>
      </c>
      <c r="E9029" t="str">
        <f>"4574674200960268"</f>
        <v>4574674200960268</v>
      </c>
      <c r="F9029" t="str">
        <f>"791"</f>
        <v>791</v>
      </c>
      <c r="G9029">
        <v>1</v>
      </c>
      <c r="H9029">
        <v>2023</v>
      </c>
      <c r="I9029" t="s">
        <v>9144</v>
      </c>
    </row>
    <row r="9030" spans="1:9" x14ac:dyDescent="0.3">
      <c r="A9030" t="s">
        <v>10172</v>
      </c>
      <c r="B9030" t="s">
        <v>75</v>
      </c>
      <c r="C9030">
        <v>8989697390</v>
      </c>
      <c r="D9030" s="2">
        <v>1</v>
      </c>
      <c r="E9030" t="str">
        <f>"4574674200960276"</f>
        <v>4574674200960276</v>
      </c>
      <c r="F9030" t="str">
        <f>"749"</f>
        <v>749</v>
      </c>
      <c r="G9030">
        <v>1</v>
      </c>
      <c r="H9030">
        <v>2023</v>
      </c>
      <c r="I9030" t="s">
        <v>9145</v>
      </c>
    </row>
    <row r="9031" spans="1:9" x14ac:dyDescent="0.3">
      <c r="A9031" t="s">
        <v>10172</v>
      </c>
      <c r="B9031" t="s">
        <v>75</v>
      </c>
      <c r="C9031">
        <v>8989697390</v>
      </c>
      <c r="D9031" s="2">
        <v>1</v>
      </c>
      <c r="E9031" t="str">
        <f>"4574674200960300"</f>
        <v>4574674200960300</v>
      </c>
      <c r="F9031" t="str">
        <f>"684"</f>
        <v>684</v>
      </c>
      <c r="G9031">
        <v>1</v>
      </c>
      <c r="H9031">
        <v>2023</v>
      </c>
      <c r="I9031" t="s">
        <v>9146</v>
      </c>
    </row>
    <row r="9032" spans="1:9" x14ac:dyDescent="0.3">
      <c r="A9032" t="s">
        <v>10172</v>
      </c>
      <c r="B9032" t="s">
        <v>75</v>
      </c>
      <c r="C9032">
        <v>8989697390</v>
      </c>
      <c r="D9032" s="2">
        <v>1</v>
      </c>
      <c r="E9032" t="str">
        <f>"4574674200960318"</f>
        <v>4574674200960318</v>
      </c>
      <c r="F9032" t="str">
        <f>"632"</f>
        <v>632</v>
      </c>
      <c r="G9032">
        <v>1</v>
      </c>
      <c r="H9032">
        <v>2023</v>
      </c>
      <c r="I9032" t="s">
        <v>9147</v>
      </c>
    </row>
    <row r="9033" spans="1:9" x14ac:dyDescent="0.3">
      <c r="A9033" t="s">
        <v>10172</v>
      </c>
      <c r="B9033" t="s">
        <v>75</v>
      </c>
      <c r="C9033">
        <v>8989697390</v>
      </c>
      <c r="D9033" s="2">
        <v>1</v>
      </c>
      <c r="E9033" t="str">
        <f>"4574674200960391"</f>
        <v>4574674200960391</v>
      </c>
      <c r="F9033" t="str">
        <f>"758"</f>
        <v>758</v>
      </c>
      <c r="G9033">
        <v>1</v>
      </c>
      <c r="H9033">
        <v>2023</v>
      </c>
      <c r="I9033" t="s">
        <v>9148</v>
      </c>
    </row>
    <row r="9034" spans="1:9" x14ac:dyDescent="0.3">
      <c r="A9034" t="s">
        <v>10172</v>
      </c>
      <c r="B9034" t="s">
        <v>75</v>
      </c>
      <c r="C9034">
        <v>8989697390</v>
      </c>
      <c r="D9034" s="2">
        <v>1</v>
      </c>
      <c r="E9034" t="str">
        <f>"4574674200960441"</f>
        <v>4574674200960441</v>
      </c>
      <c r="F9034" t="str">
        <f>"524"</f>
        <v>524</v>
      </c>
      <c r="G9034">
        <v>1</v>
      </c>
      <c r="H9034">
        <v>2023</v>
      </c>
      <c r="I9034" t="s">
        <v>9149</v>
      </c>
    </row>
    <row r="9035" spans="1:9" x14ac:dyDescent="0.3">
      <c r="A9035" t="s">
        <v>10172</v>
      </c>
      <c r="B9035" t="s">
        <v>75</v>
      </c>
      <c r="C9035">
        <v>8989697390</v>
      </c>
      <c r="D9035" s="2">
        <v>1</v>
      </c>
      <c r="E9035" t="str">
        <f>"4574674200958999"</f>
        <v>4574674200958999</v>
      </c>
      <c r="F9035" t="str">
        <f>"466"</f>
        <v>466</v>
      </c>
      <c r="G9035">
        <v>1</v>
      </c>
      <c r="H9035">
        <v>2023</v>
      </c>
      <c r="I9035" t="s">
        <v>9150</v>
      </c>
    </row>
    <row r="9036" spans="1:9" x14ac:dyDescent="0.3">
      <c r="A9036" t="s">
        <v>10173</v>
      </c>
      <c r="B9036" t="s">
        <v>76</v>
      </c>
      <c r="C9036">
        <v>8989697390</v>
      </c>
      <c r="D9036" s="2">
        <v>1</v>
      </c>
      <c r="E9036" t="str">
        <f>"4574674200960607"</f>
        <v>4574674200960607</v>
      </c>
      <c r="F9036" t="str">
        <f>"220"</f>
        <v>220</v>
      </c>
      <c r="G9036">
        <v>1</v>
      </c>
      <c r="H9036">
        <v>2023</v>
      </c>
      <c r="I9036" t="s">
        <v>9151</v>
      </c>
    </row>
    <row r="9037" spans="1:9" x14ac:dyDescent="0.3">
      <c r="A9037" t="s">
        <v>10173</v>
      </c>
      <c r="B9037" t="s">
        <v>76</v>
      </c>
      <c r="C9037">
        <v>8989697390</v>
      </c>
      <c r="D9037" s="2">
        <v>1</v>
      </c>
      <c r="E9037" t="str">
        <f>"4574674200960615"</f>
        <v>4574674200960615</v>
      </c>
      <c r="F9037" t="str">
        <f>"338"</f>
        <v>338</v>
      </c>
      <c r="G9037">
        <v>1</v>
      </c>
      <c r="H9037">
        <v>2023</v>
      </c>
      <c r="I9037" t="s">
        <v>9152</v>
      </c>
    </row>
    <row r="9038" spans="1:9" x14ac:dyDescent="0.3">
      <c r="A9038" t="s">
        <v>10173</v>
      </c>
      <c r="B9038" t="s">
        <v>76</v>
      </c>
      <c r="C9038">
        <v>8989697390</v>
      </c>
      <c r="D9038" s="2">
        <v>1</v>
      </c>
      <c r="E9038" t="str">
        <f>"4574674200960474"</f>
        <v>4574674200960474</v>
      </c>
      <c r="F9038" t="str">
        <f>"072"</f>
        <v>072</v>
      </c>
      <c r="G9038">
        <v>1</v>
      </c>
      <c r="H9038">
        <v>2023</v>
      </c>
      <c r="I9038" t="s">
        <v>9153</v>
      </c>
    </row>
    <row r="9039" spans="1:9" x14ac:dyDescent="0.3">
      <c r="A9039" t="s">
        <v>10173</v>
      </c>
      <c r="B9039" t="s">
        <v>76</v>
      </c>
      <c r="C9039">
        <v>8989697390</v>
      </c>
      <c r="D9039" s="2">
        <v>1</v>
      </c>
      <c r="E9039" t="str">
        <f>"4574674200960482"</f>
        <v>4574674200960482</v>
      </c>
      <c r="F9039" t="str">
        <f>"209"</f>
        <v>209</v>
      </c>
      <c r="G9039">
        <v>1</v>
      </c>
      <c r="H9039">
        <v>2023</v>
      </c>
      <c r="I9039" t="s">
        <v>9154</v>
      </c>
    </row>
    <row r="9040" spans="1:9" x14ac:dyDescent="0.3">
      <c r="A9040" t="s">
        <v>10173</v>
      </c>
      <c r="B9040" t="s">
        <v>76</v>
      </c>
      <c r="C9040">
        <v>8989697390</v>
      </c>
      <c r="D9040" s="2">
        <v>1</v>
      </c>
      <c r="E9040" t="str">
        <f>"4574674200960540"</f>
        <v>4574674200960540</v>
      </c>
      <c r="F9040" t="str">
        <f>"786"</f>
        <v>786</v>
      </c>
      <c r="G9040">
        <v>1</v>
      </c>
      <c r="H9040">
        <v>2023</v>
      </c>
      <c r="I9040" t="s">
        <v>9155</v>
      </c>
    </row>
    <row r="9041" spans="1:9" x14ac:dyDescent="0.3">
      <c r="A9041" t="s">
        <v>10173</v>
      </c>
      <c r="B9041" t="s">
        <v>76</v>
      </c>
      <c r="C9041">
        <v>8989697390</v>
      </c>
      <c r="D9041" s="2">
        <v>1</v>
      </c>
      <c r="E9041" t="str">
        <f>"4574674200960599"</f>
        <v>4574674200960599</v>
      </c>
      <c r="F9041" t="str">
        <f>"460"</f>
        <v>460</v>
      </c>
      <c r="G9041">
        <v>1</v>
      </c>
      <c r="H9041">
        <v>2023</v>
      </c>
      <c r="I9041" t="s">
        <v>9156</v>
      </c>
    </row>
    <row r="9042" spans="1:9" x14ac:dyDescent="0.3">
      <c r="A9042" t="s">
        <v>10173</v>
      </c>
      <c r="B9042" t="s">
        <v>76</v>
      </c>
      <c r="C9042">
        <v>8989697390</v>
      </c>
      <c r="D9042" s="2">
        <v>1</v>
      </c>
      <c r="E9042" t="str">
        <f>"4574674200960888"</f>
        <v>4574674200960888</v>
      </c>
      <c r="F9042" t="str">
        <f>"529"</f>
        <v>529</v>
      </c>
      <c r="G9042">
        <v>1</v>
      </c>
      <c r="H9042">
        <v>2023</v>
      </c>
      <c r="I9042" t="s">
        <v>9157</v>
      </c>
    </row>
    <row r="9043" spans="1:9" x14ac:dyDescent="0.3">
      <c r="A9043" t="s">
        <v>10173</v>
      </c>
      <c r="B9043" t="s">
        <v>76</v>
      </c>
      <c r="C9043">
        <v>8989697390</v>
      </c>
      <c r="D9043" s="2">
        <v>1</v>
      </c>
      <c r="E9043" t="str">
        <f>"4574674200960870"</f>
        <v>4574674200960870</v>
      </c>
      <c r="F9043" t="str">
        <f>"802"</f>
        <v>802</v>
      </c>
      <c r="G9043">
        <v>1</v>
      </c>
      <c r="H9043">
        <v>2023</v>
      </c>
      <c r="I9043" t="s">
        <v>9158</v>
      </c>
    </row>
    <row r="9044" spans="1:9" x14ac:dyDescent="0.3">
      <c r="A9044" t="s">
        <v>10173</v>
      </c>
      <c r="B9044" t="s">
        <v>76</v>
      </c>
      <c r="C9044">
        <v>8989697390</v>
      </c>
      <c r="D9044" s="2">
        <v>1</v>
      </c>
      <c r="E9044" t="str">
        <f>"4574674200960896"</f>
        <v>4574674200960896</v>
      </c>
      <c r="F9044" t="str">
        <f>"861"</f>
        <v>861</v>
      </c>
      <c r="G9044">
        <v>1</v>
      </c>
      <c r="H9044">
        <v>2023</v>
      </c>
      <c r="I9044" t="s">
        <v>9159</v>
      </c>
    </row>
    <row r="9045" spans="1:9" x14ac:dyDescent="0.3">
      <c r="A9045" t="s">
        <v>10173</v>
      </c>
      <c r="B9045" t="s">
        <v>76</v>
      </c>
      <c r="C9045">
        <v>8989697390</v>
      </c>
      <c r="D9045" s="2">
        <v>1</v>
      </c>
      <c r="E9045" t="str">
        <f>"4574674200960953"</f>
        <v>4574674200960953</v>
      </c>
      <c r="F9045" t="str">
        <f>"039"</f>
        <v>039</v>
      </c>
      <c r="G9045">
        <v>1</v>
      </c>
      <c r="H9045">
        <v>2023</v>
      </c>
      <c r="I9045" t="s">
        <v>9160</v>
      </c>
    </row>
    <row r="9046" spans="1:9" x14ac:dyDescent="0.3">
      <c r="A9046" t="s">
        <v>10146</v>
      </c>
      <c r="B9046" t="s">
        <v>61</v>
      </c>
      <c r="C9046">
        <v>8989697390</v>
      </c>
      <c r="D9046" s="2">
        <v>1</v>
      </c>
      <c r="E9046" t="str">
        <f>"4574674200960631"</f>
        <v>4574674200960631</v>
      </c>
      <c r="F9046" t="str">
        <f>"452"</f>
        <v>452</v>
      </c>
      <c r="G9046">
        <v>1</v>
      </c>
      <c r="H9046">
        <v>2023</v>
      </c>
      <c r="I9046" t="s">
        <v>9161</v>
      </c>
    </row>
    <row r="9047" spans="1:9" x14ac:dyDescent="0.3">
      <c r="A9047" t="s">
        <v>10146</v>
      </c>
      <c r="B9047" t="s">
        <v>61</v>
      </c>
      <c r="C9047">
        <v>8989697390</v>
      </c>
      <c r="D9047" s="2">
        <v>1</v>
      </c>
      <c r="E9047" t="str">
        <f>"4574674200960649"</f>
        <v>4574674200960649</v>
      </c>
      <c r="F9047" t="str">
        <f>"399"</f>
        <v>399</v>
      </c>
      <c r="G9047">
        <v>1</v>
      </c>
      <c r="H9047">
        <v>2023</v>
      </c>
      <c r="I9047" t="s">
        <v>9162</v>
      </c>
    </row>
    <row r="9048" spans="1:9" x14ac:dyDescent="0.3">
      <c r="A9048" t="s">
        <v>10146</v>
      </c>
      <c r="B9048" t="s">
        <v>61</v>
      </c>
      <c r="C9048">
        <v>8989697390</v>
      </c>
      <c r="D9048" s="2">
        <v>1</v>
      </c>
      <c r="E9048" t="str">
        <f>"4574674200960656"</f>
        <v>4574674200960656</v>
      </c>
      <c r="F9048" t="str">
        <f>"312"</f>
        <v>312</v>
      </c>
      <c r="G9048">
        <v>1</v>
      </c>
      <c r="H9048">
        <v>2023</v>
      </c>
      <c r="I9048" t="s">
        <v>9163</v>
      </c>
    </row>
    <row r="9049" spans="1:9" x14ac:dyDescent="0.3">
      <c r="A9049" t="s">
        <v>10146</v>
      </c>
      <c r="B9049" t="s">
        <v>61</v>
      </c>
      <c r="C9049">
        <v>8989697390</v>
      </c>
      <c r="D9049" s="2">
        <v>1</v>
      </c>
      <c r="E9049" t="str">
        <f>"4574674200961043"</f>
        <v>4574674200961043</v>
      </c>
      <c r="F9049" t="str">
        <f>"028"</f>
        <v>028</v>
      </c>
      <c r="G9049">
        <v>1</v>
      </c>
      <c r="H9049">
        <v>2023</v>
      </c>
      <c r="I9049" t="s">
        <v>9164</v>
      </c>
    </row>
    <row r="9050" spans="1:9" x14ac:dyDescent="0.3">
      <c r="A9050" t="s">
        <v>10146</v>
      </c>
      <c r="B9050" t="s">
        <v>61</v>
      </c>
      <c r="C9050">
        <v>8989697390</v>
      </c>
      <c r="D9050" s="2">
        <v>1</v>
      </c>
      <c r="E9050" t="str">
        <f>"4574674200961050"</f>
        <v>4574674200961050</v>
      </c>
      <c r="F9050" t="str">
        <f>"377"</f>
        <v>377</v>
      </c>
      <c r="G9050">
        <v>1</v>
      </c>
      <c r="H9050">
        <v>2023</v>
      </c>
      <c r="I9050" t="s">
        <v>9165</v>
      </c>
    </row>
    <row r="9051" spans="1:9" x14ac:dyDescent="0.3">
      <c r="A9051" t="s">
        <v>10146</v>
      </c>
      <c r="B9051" t="s">
        <v>61</v>
      </c>
      <c r="C9051">
        <v>8989697390</v>
      </c>
      <c r="D9051" s="2">
        <v>1</v>
      </c>
      <c r="E9051" t="str">
        <f>"4574674200961068"</f>
        <v>4574674200961068</v>
      </c>
      <c r="F9051" t="str">
        <f>"698"</f>
        <v>698</v>
      </c>
      <c r="G9051">
        <v>1</v>
      </c>
      <c r="H9051">
        <v>2023</v>
      </c>
      <c r="I9051" t="s">
        <v>9166</v>
      </c>
    </row>
    <row r="9052" spans="1:9" x14ac:dyDescent="0.3">
      <c r="A9052" t="s">
        <v>10146</v>
      </c>
      <c r="B9052" t="s">
        <v>61</v>
      </c>
      <c r="C9052">
        <v>8989697390</v>
      </c>
      <c r="D9052" s="2">
        <v>1</v>
      </c>
      <c r="E9052" t="str">
        <f>"4574674200961100"</f>
        <v>4574674200961100</v>
      </c>
      <c r="F9052" t="str">
        <f>"723"</f>
        <v>723</v>
      </c>
      <c r="G9052">
        <v>1</v>
      </c>
      <c r="H9052">
        <v>2023</v>
      </c>
      <c r="I9052" t="s">
        <v>9167</v>
      </c>
    </row>
    <row r="9053" spans="1:9" x14ac:dyDescent="0.3">
      <c r="A9053" t="s">
        <v>10146</v>
      </c>
      <c r="B9053" t="s">
        <v>61</v>
      </c>
      <c r="C9053">
        <v>8989697390</v>
      </c>
      <c r="D9053" s="2">
        <v>1</v>
      </c>
      <c r="E9053" t="str">
        <f>"4574674200961209"</f>
        <v>4574674200961209</v>
      </c>
      <c r="F9053" t="str">
        <f>"695"</f>
        <v>695</v>
      </c>
      <c r="G9053">
        <v>1</v>
      </c>
      <c r="H9053">
        <v>2023</v>
      </c>
      <c r="I9053" t="s">
        <v>9168</v>
      </c>
    </row>
    <row r="9054" spans="1:9" x14ac:dyDescent="0.3">
      <c r="A9054" t="s">
        <v>10146</v>
      </c>
      <c r="B9054" t="s">
        <v>61</v>
      </c>
      <c r="C9054">
        <v>8989697390</v>
      </c>
      <c r="D9054" s="2">
        <v>1</v>
      </c>
      <c r="E9054" t="str">
        <f>"4574674200961217"</f>
        <v>4574674200961217</v>
      </c>
      <c r="F9054" t="str">
        <f>"728"</f>
        <v>728</v>
      </c>
      <c r="G9054">
        <v>1</v>
      </c>
      <c r="H9054">
        <v>2023</v>
      </c>
      <c r="I9054" t="s">
        <v>9169</v>
      </c>
    </row>
    <row r="9055" spans="1:9" x14ac:dyDescent="0.3">
      <c r="A9055" t="s">
        <v>10146</v>
      </c>
      <c r="B9055" t="s">
        <v>61</v>
      </c>
      <c r="C9055">
        <v>8989697390</v>
      </c>
      <c r="D9055" s="2">
        <v>1</v>
      </c>
      <c r="E9055" t="str">
        <f>"4574674200960680"</f>
        <v>4574674200960680</v>
      </c>
      <c r="F9055" t="str">
        <f>"136"</f>
        <v>136</v>
      </c>
      <c r="G9055">
        <v>1</v>
      </c>
      <c r="H9055">
        <v>2023</v>
      </c>
      <c r="I9055" t="s">
        <v>9170</v>
      </c>
    </row>
    <row r="9056" spans="1:9" x14ac:dyDescent="0.3">
      <c r="A9056" t="s">
        <v>10174</v>
      </c>
      <c r="B9056" t="s">
        <v>77</v>
      </c>
      <c r="C9056">
        <v>8989697390</v>
      </c>
      <c r="D9056" s="2">
        <v>1</v>
      </c>
      <c r="E9056" t="str">
        <f>"4574674200960698"</f>
        <v>4574674200960698</v>
      </c>
      <c r="F9056" t="str">
        <f>"998"</f>
        <v>998</v>
      </c>
      <c r="G9056">
        <v>1</v>
      </c>
      <c r="H9056">
        <v>2023</v>
      </c>
      <c r="I9056" t="s">
        <v>9171</v>
      </c>
    </row>
    <row r="9057" spans="1:9" x14ac:dyDescent="0.3">
      <c r="A9057" t="s">
        <v>10174</v>
      </c>
      <c r="B9057" t="s">
        <v>77</v>
      </c>
      <c r="C9057">
        <v>8989697390</v>
      </c>
      <c r="D9057" s="2">
        <v>1</v>
      </c>
      <c r="E9057" t="str">
        <f>"4574674200960672"</f>
        <v>4574674200960672</v>
      </c>
      <c r="F9057" t="str">
        <f>"179"</f>
        <v>179</v>
      </c>
      <c r="G9057">
        <v>1</v>
      </c>
      <c r="H9057">
        <v>2023</v>
      </c>
      <c r="I9057" t="s">
        <v>9172</v>
      </c>
    </row>
    <row r="9058" spans="1:9" x14ac:dyDescent="0.3">
      <c r="A9058" t="s">
        <v>10174</v>
      </c>
      <c r="B9058" t="s">
        <v>77</v>
      </c>
      <c r="C9058">
        <v>8989697390</v>
      </c>
      <c r="D9058" s="2">
        <v>1</v>
      </c>
      <c r="E9058" t="str">
        <f>"4574674200961241"</f>
        <v>4574674200961241</v>
      </c>
      <c r="F9058" t="str">
        <f>"586"</f>
        <v>586</v>
      </c>
      <c r="G9058">
        <v>1</v>
      </c>
      <c r="H9058">
        <v>2023</v>
      </c>
      <c r="I9058" t="s">
        <v>9173</v>
      </c>
    </row>
    <row r="9059" spans="1:9" x14ac:dyDescent="0.3">
      <c r="A9059" t="s">
        <v>10174</v>
      </c>
      <c r="B9059" t="s">
        <v>77</v>
      </c>
      <c r="C9059">
        <v>8989697390</v>
      </c>
      <c r="D9059" s="2">
        <v>1</v>
      </c>
      <c r="E9059" t="str">
        <f>"4574674200961274"</f>
        <v>4574674200961274</v>
      </c>
      <c r="F9059" t="str">
        <f>"927"</f>
        <v>927</v>
      </c>
      <c r="G9059">
        <v>1</v>
      </c>
      <c r="H9059">
        <v>2023</v>
      </c>
      <c r="I9059" t="s">
        <v>9174</v>
      </c>
    </row>
    <row r="9060" spans="1:9" x14ac:dyDescent="0.3">
      <c r="A9060" t="s">
        <v>10174</v>
      </c>
      <c r="B9060" t="s">
        <v>77</v>
      </c>
      <c r="C9060">
        <v>8989697390</v>
      </c>
      <c r="D9060" s="2">
        <v>1</v>
      </c>
      <c r="E9060" t="str">
        <f>"4574674200961324"</f>
        <v>4574674200961324</v>
      </c>
      <c r="F9060" t="str">
        <f>"368"</f>
        <v>368</v>
      </c>
      <c r="G9060">
        <v>1</v>
      </c>
      <c r="H9060">
        <v>2023</v>
      </c>
      <c r="I9060" t="s">
        <v>9175</v>
      </c>
    </row>
    <row r="9061" spans="1:9" x14ac:dyDescent="0.3">
      <c r="A9061" t="s">
        <v>10174</v>
      </c>
      <c r="B9061" t="s">
        <v>77</v>
      </c>
      <c r="C9061">
        <v>8989697390</v>
      </c>
      <c r="D9061" s="2">
        <v>1</v>
      </c>
      <c r="E9061" t="str">
        <f>"4574674200961399"</f>
        <v>4574674200961399</v>
      </c>
      <c r="F9061" t="str">
        <f>"129"</f>
        <v>129</v>
      </c>
      <c r="G9061">
        <v>1</v>
      </c>
      <c r="H9061">
        <v>2023</v>
      </c>
      <c r="I9061" t="s">
        <v>9176</v>
      </c>
    </row>
    <row r="9062" spans="1:9" x14ac:dyDescent="0.3">
      <c r="A9062" t="s">
        <v>10174</v>
      </c>
      <c r="B9062" t="s">
        <v>77</v>
      </c>
      <c r="C9062">
        <v>8989697390</v>
      </c>
      <c r="D9062" s="2">
        <v>1</v>
      </c>
      <c r="E9062" t="str">
        <f>"4574674200961381"</f>
        <v>4574674200961381</v>
      </c>
      <c r="F9062" t="str">
        <f>"371"</f>
        <v>371</v>
      </c>
      <c r="G9062">
        <v>1</v>
      </c>
      <c r="H9062">
        <v>2023</v>
      </c>
      <c r="I9062" t="s">
        <v>9177</v>
      </c>
    </row>
    <row r="9063" spans="1:9" x14ac:dyDescent="0.3">
      <c r="A9063" t="s">
        <v>10174</v>
      </c>
      <c r="B9063" t="s">
        <v>77</v>
      </c>
      <c r="C9063">
        <v>8989697390</v>
      </c>
      <c r="D9063" s="2">
        <v>1</v>
      </c>
      <c r="E9063" t="str">
        <f>"4574674200961456"</f>
        <v>4574674200961456</v>
      </c>
      <c r="F9063" t="str">
        <f>"779"</f>
        <v>779</v>
      </c>
      <c r="G9063">
        <v>1</v>
      </c>
      <c r="H9063">
        <v>2023</v>
      </c>
      <c r="I9063" t="s">
        <v>9178</v>
      </c>
    </row>
    <row r="9064" spans="1:9" x14ac:dyDescent="0.3">
      <c r="A9064" t="s">
        <v>10174</v>
      </c>
      <c r="B9064" t="s">
        <v>77</v>
      </c>
      <c r="C9064">
        <v>8989697390</v>
      </c>
      <c r="D9064" s="2">
        <v>1</v>
      </c>
      <c r="E9064" t="str">
        <f>"4574674200960714"</f>
        <v>4574674200960714</v>
      </c>
      <c r="F9064" t="str">
        <f>"721"</f>
        <v>721</v>
      </c>
      <c r="G9064">
        <v>1</v>
      </c>
      <c r="H9064">
        <v>2023</v>
      </c>
      <c r="I9064" t="s">
        <v>9179</v>
      </c>
    </row>
    <row r="9065" spans="1:9" x14ac:dyDescent="0.3">
      <c r="A9065" t="s">
        <v>10174</v>
      </c>
      <c r="B9065" t="s">
        <v>77</v>
      </c>
      <c r="C9065">
        <v>8989697390</v>
      </c>
      <c r="D9065" s="2">
        <v>1</v>
      </c>
      <c r="E9065" t="str">
        <f>"4574674200961506"</f>
        <v>4574674200961506</v>
      </c>
      <c r="F9065" t="str">
        <f>"130"</f>
        <v>130</v>
      </c>
      <c r="G9065">
        <v>1</v>
      </c>
      <c r="H9065">
        <v>2023</v>
      </c>
      <c r="I9065" t="s">
        <v>9180</v>
      </c>
    </row>
    <row r="9066" spans="1:9" x14ac:dyDescent="0.3">
      <c r="A9066" t="s">
        <v>10163</v>
      </c>
      <c r="B9066" t="s">
        <v>57</v>
      </c>
      <c r="C9066">
        <v>8989697390</v>
      </c>
      <c r="D9066" s="2">
        <v>1</v>
      </c>
      <c r="E9066" t="str">
        <f>"4574674200961555"</f>
        <v>4574674200961555</v>
      </c>
      <c r="F9066" t="str">
        <f>"883"</f>
        <v>883</v>
      </c>
      <c r="G9066">
        <v>1</v>
      </c>
      <c r="H9066">
        <v>2023</v>
      </c>
      <c r="I9066" t="s">
        <v>9181</v>
      </c>
    </row>
    <row r="9067" spans="1:9" x14ac:dyDescent="0.3">
      <c r="A9067" t="s">
        <v>10163</v>
      </c>
      <c r="B9067" t="s">
        <v>57</v>
      </c>
      <c r="C9067">
        <v>8989697390</v>
      </c>
      <c r="D9067" s="2">
        <v>1</v>
      </c>
      <c r="E9067" t="str">
        <f>"4574674200961589"</f>
        <v>4574674200961589</v>
      </c>
      <c r="F9067" t="str">
        <f>"858"</f>
        <v>858</v>
      </c>
      <c r="G9067">
        <v>1</v>
      </c>
      <c r="H9067">
        <v>2023</v>
      </c>
      <c r="I9067" t="s">
        <v>9182</v>
      </c>
    </row>
    <row r="9068" spans="1:9" x14ac:dyDescent="0.3">
      <c r="A9068" t="s">
        <v>10163</v>
      </c>
      <c r="B9068" t="s">
        <v>57</v>
      </c>
      <c r="C9068">
        <v>8989697390</v>
      </c>
      <c r="D9068" s="2">
        <v>1</v>
      </c>
      <c r="E9068" t="str">
        <f>"4574674200961605"</f>
        <v>4574674200961605</v>
      </c>
      <c r="F9068" t="str">
        <f>"550"</f>
        <v>550</v>
      </c>
      <c r="G9068">
        <v>1</v>
      </c>
      <c r="H9068">
        <v>2023</v>
      </c>
      <c r="I9068" t="s">
        <v>9183</v>
      </c>
    </row>
    <row r="9069" spans="1:9" x14ac:dyDescent="0.3">
      <c r="A9069" t="s">
        <v>10163</v>
      </c>
      <c r="B9069" t="s">
        <v>57</v>
      </c>
      <c r="C9069">
        <v>8989697390</v>
      </c>
      <c r="D9069" s="2">
        <v>1</v>
      </c>
      <c r="E9069" t="str">
        <f>"4574674200960730"</f>
        <v>4574674200960730</v>
      </c>
      <c r="F9069" t="str">
        <f>"762"</f>
        <v>762</v>
      </c>
      <c r="G9069">
        <v>1</v>
      </c>
      <c r="H9069">
        <v>2023</v>
      </c>
      <c r="I9069" t="s">
        <v>9184</v>
      </c>
    </row>
    <row r="9070" spans="1:9" x14ac:dyDescent="0.3">
      <c r="A9070" t="s">
        <v>10163</v>
      </c>
      <c r="B9070" t="s">
        <v>57</v>
      </c>
      <c r="C9070">
        <v>8989697390</v>
      </c>
      <c r="D9070" s="2">
        <v>1</v>
      </c>
      <c r="E9070" t="str">
        <f>"4574674200961613"</f>
        <v>4574674200961613</v>
      </c>
      <c r="F9070" t="str">
        <f>"160"</f>
        <v>160</v>
      </c>
      <c r="G9070">
        <v>1</v>
      </c>
      <c r="H9070">
        <v>2023</v>
      </c>
      <c r="I9070" t="s">
        <v>9185</v>
      </c>
    </row>
    <row r="9071" spans="1:9" x14ac:dyDescent="0.3">
      <c r="A9071" t="s">
        <v>10163</v>
      </c>
      <c r="B9071" t="s">
        <v>57</v>
      </c>
      <c r="C9071">
        <v>8989697390</v>
      </c>
      <c r="D9071" s="2">
        <v>1</v>
      </c>
      <c r="E9071" t="str">
        <f>"4574674200961696"</f>
        <v>4574674200961696</v>
      </c>
      <c r="F9071" t="str">
        <f>"722"</f>
        <v>722</v>
      </c>
      <c r="G9071">
        <v>1</v>
      </c>
      <c r="H9071">
        <v>2023</v>
      </c>
      <c r="I9071" t="s">
        <v>9186</v>
      </c>
    </row>
    <row r="9072" spans="1:9" x14ac:dyDescent="0.3">
      <c r="A9072" t="s">
        <v>10163</v>
      </c>
      <c r="B9072" t="s">
        <v>57</v>
      </c>
      <c r="C9072">
        <v>8989697390</v>
      </c>
      <c r="D9072" s="2">
        <v>1</v>
      </c>
      <c r="E9072" t="str">
        <f>"4574674200961753"</f>
        <v>4574674200961753</v>
      </c>
      <c r="F9072" t="str">
        <f>"636"</f>
        <v>636</v>
      </c>
      <c r="G9072">
        <v>1</v>
      </c>
      <c r="H9072">
        <v>2023</v>
      </c>
      <c r="I9072" t="s">
        <v>9187</v>
      </c>
    </row>
    <row r="9073" spans="1:9" x14ac:dyDescent="0.3">
      <c r="A9073" t="s">
        <v>10163</v>
      </c>
      <c r="B9073" t="s">
        <v>57</v>
      </c>
      <c r="C9073">
        <v>8989697390</v>
      </c>
      <c r="D9073" s="2">
        <v>1</v>
      </c>
      <c r="E9073" t="str">
        <f>"4574674200961761"</f>
        <v>4574674200961761</v>
      </c>
      <c r="F9073" t="str">
        <f>"639"</f>
        <v>639</v>
      </c>
      <c r="G9073">
        <v>1</v>
      </c>
      <c r="H9073">
        <v>2023</v>
      </c>
      <c r="I9073" t="s">
        <v>9188</v>
      </c>
    </row>
    <row r="9074" spans="1:9" x14ac:dyDescent="0.3">
      <c r="A9074" t="s">
        <v>10163</v>
      </c>
      <c r="B9074" t="s">
        <v>57</v>
      </c>
      <c r="C9074">
        <v>8989697390</v>
      </c>
      <c r="D9074" s="2">
        <v>1</v>
      </c>
      <c r="E9074" t="str">
        <f>"4574674200961795"</f>
        <v>4574674200961795</v>
      </c>
      <c r="F9074" t="str">
        <f>"852"</f>
        <v>852</v>
      </c>
      <c r="G9074">
        <v>1</v>
      </c>
      <c r="H9074">
        <v>2023</v>
      </c>
      <c r="I9074" t="s">
        <v>9189</v>
      </c>
    </row>
    <row r="9075" spans="1:9" x14ac:dyDescent="0.3">
      <c r="A9075" t="s">
        <v>10163</v>
      </c>
      <c r="B9075" t="s">
        <v>57</v>
      </c>
      <c r="C9075">
        <v>8989697390</v>
      </c>
      <c r="D9075" s="2">
        <v>1</v>
      </c>
      <c r="E9075" t="str">
        <f>"4574674200961803"</f>
        <v>4574674200961803</v>
      </c>
      <c r="F9075" t="str">
        <f>"777"</f>
        <v>777</v>
      </c>
      <c r="G9075">
        <v>1</v>
      </c>
      <c r="H9075">
        <v>2023</v>
      </c>
      <c r="I9075" t="s">
        <v>9190</v>
      </c>
    </row>
    <row r="9076" spans="1:9" x14ac:dyDescent="0.3">
      <c r="A9076" t="s">
        <v>10173</v>
      </c>
      <c r="B9076" t="s">
        <v>76</v>
      </c>
      <c r="C9076">
        <v>8989697390</v>
      </c>
      <c r="D9076" s="2">
        <v>1</v>
      </c>
      <c r="E9076" t="str">
        <f>"4574674200960763"</f>
        <v>4574674200960763</v>
      </c>
      <c r="F9076" t="str">
        <f>"617"</f>
        <v>617</v>
      </c>
      <c r="G9076">
        <v>1</v>
      </c>
      <c r="H9076">
        <v>2023</v>
      </c>
      <c r="I9076" t="s">
        <v>9191</v>
      </c>
    </row>
    <row r="9077" spans="1:9" x14ac:dyDescent="0.3">
      <c r="A9077" t="s">
        <v>10173</v>
      </c>
      <c r="B9077" t="s">
        <v>76</v>
      </c>
      <c r="C9077">
        <v>8989697390</v>
      </c>
      <c r="D9077" s="2">
        <v>1</v>
      </c>
      <c r="E9077" t="str">
        <f>"4574674200961845"</f>
        <v>4574674200961845</v>
      </c>
      <c r="F9077" t="str">
        <f>"004"</f>
        <v>004</v>
      </c>
      <c r="G9077">
        <v>1</v>
      </c>
      <c r="H9077">
        <v>2023</v>
      </c>
      <c r="I9077" t="s">
        <v>9192</v>
      </c>
    </row>
    <row r="9078" spans="1:9" x14ac:dyDescent="0.3">
      <c r="A9078" t="s">
        <v>10173</v>
      </c>
      <c r="B9078" t="s">
        <v>76</v>
      </c>
      <c r="C9078">
        <v>8989697390</v>
      </c>
      <c r="D9078" s="2">
        <v>1</v>
      </c>
      <c r="E9078" t="str">
        <f>"4574674200961944"</f>
        <v>4574674200961944</v>
      </c>
      <c r="F9078" t="str">
        <f>"621"</f>
        <v>621</v>
      </c>
      <c r="G9078">
        <v>1</v>
      </c>
      <c r="H9078">
        <v>2023</v>
      </c>
      <c r="I9078" t="s">
        <v>9193</v>
      </c>
    </row>
    <row r="9079" spans="1:9" x14ac:dyDescent="0.3">
      <c r="A9079" t="s">
        <v>10173</v>
      </c>
      <c r="B9079" t="s">
        <v>76</v>
      </c>
      <c r="C9079">
        <v>8989697390</v>
      </c>
      <c r="D9079" s="2">
        <v>1</v>
      </c>
      <c r="E9079" t="str">
        <f>"4574674200961951"</f>
        <v>4574674200961951</v>
      </c>
      <c r="F9079" t="str">
        <f>"005"</f>
        <v>005</v>
      </c>
      <c r="G9079">
        <v>1</v>
      </c>
      <c r="H9079">
        <v>2023</v>
      </c>
      <c r="I9079" t="s">
        <v>9194</v>
      </c>
    </row>
    <row r="9080" spans="1:9" x14ac:dyDescent="0.3">
      <c r="A9080" t="s">
        <v>10173</v>
      </c>
      <c r="B9080" t="s">
        <v>76</v>
      </c>
      <c r="C9080">
        <v>8989697390</v>
      </c>
      <c r="D9080" s="2">
        <v>1</v>
      </c>
      <c r="E9080" t="str">
        <f>"4574674200961969"</f>
        <v>4574674200961969</v>
      </c>
      <c r="F9080" t="str">
        <f>"860"</f>
        <v>860</v>
      </c>
      <c r="G9080">
        <v>1</v>
      </c>
      <c r="H9080">
        <v>2023</v>
      </c>
      <c r="I9080" t="s">
        <v>9195</v>
      </c>
    </row>
    <row r="9081" spans="1:9" x14ac:dyDescent="0.3">
      <c r="A9081" t="s">
        <v>10173</v>
      </c>
      <c r="B9081" t="s">
        <v>76</v>
      </c>
      <c r="C9081">
        <v>8989697390</v>
      </c>
      <c r="D9081" s="2">
        <v>1</v>
      </c>
      <c r="E9081" t="str">
        <f>"4574674200961985"</f>
        <v>4574674200961985</v>
      </c>
      <c r="F9081" t="str">
        <f>"839"</f>
        <v>839</v>
      </c>
      <c r="G9081">
        <v>1</v>
      </c>
      <c r="H9081">
        <v>2023</v>
      </c>
      <c r="I9081" t="s">
        <v>9196</v>
      </c>
    </row>
    <row r="9082" spans="1:9" x14ac:dyDescent="0.3">
      <c r="A9082" t="s">
        <v>10173</v>
      </c>
      <c r="B9082" t="s">
        <v>76</v>
      </c>
      <c r="C9082">
        <v>8989697390</v>
      </c>
      <c r="D9082" s="2">
        <v>1</v>
      </c>
      <c r="E9082" t="str">
        <f>"4574674200960771"</f>
        <v>4574674200960771</v>
      </c>
      <c r="F9082" t="str">
        <f>"305"</f>
        <v>305</v>
      </c>
      <c r="G9082">
        <v>1</v>
      </c>
      <c r="H9082">
        <v>2023</v>
      </c>
      <c r="I9082" t="s">
        <v>9197</v>
      </c>
    </row>
    <row r="9083" spans="1:9" x14ac:dyDescent="0.3">
      <c r="A9083" t="s">
        <v>10173</v>
      </c>
      <c r="B9083" t="s">
        <v>76</v>
      </c>
      <c r="C9083">
        <v>8989697390</v>
      </c>
      <c r="D9083" s="2">
        <v>1</v>
      </c>
      <c r="E9083" t="str">
        <f>"4574674200962041"</f>
        <v>4574674200962041</v>
      </c>
      <c r="F9083" t="str">
        <f>"772"</f>
        <v>772</v>
      </c>
      <c r="G9083">
        <v>1</v>
      </c>
      <c r="H9083">
        <v>2023</v>
      </c>
      <c r="I9083" t="s">
        <v>9198</v>
      </c>
    </row>
    <row r="9084" spans="1:9" x14ac:dyDescent="0.3">
      <c r="A9084" t="s">
        <v>10173</v>
      </c>
      <c r="B9084" t="s">
        <v>76</v>
      </c>
      <c r="C9084">
        <v>8989697390</v>
      </c>
      <c r="D9084" s="2">
        <v>1</v>
      </c>
      <c r="E9084" t="str">
        <f>"4574674200962124"</f>
        <v>4574674200962124</v>
      </c>
      <c r="F9084" t="str">
        <f>"420"</f>
        <v>420</v>
      </c>
      <c r="G9084">
        <v>1</v>
      </c>
      <c r="H9084">
        <v>2023</v>
      </c>
      <c r="I9084" t="s">
        <v>9199</v>
      </c>
    </row>
    <row r="9085" spans="1:9" x14ac:dyDescent="0.3">
      <c r="A9085" t="s">
        <v>10173</v>
      </c>
      <c r="B9085" t="s">
        <v>76</v>
      </c>
      <c r="C9085">
        <v>8989697390</v>
      </c>
      <c r="D9085" s="2">
        <v>1</v>
      </c>
      <c r="E9085" t="str">
        <f>"4574674200962132"</f>
        <v>4574674200962132</v>
      </c>
      <c r="F9085" t="str">
        <f>"673"</f>
        <v>673</v>
      </c>
      <c r="G9085">
        <v>1</v>
      </c>
      <c r="H9085">
        <v>2023</v>
      </c>
      <c r="I9085" t="s">
        <v>9200</v>
      </c>
    </row>
    <row r="9086" spans="1:9" x14ac:dyDescent="0.3">
      <c r="A9086" t="s">
        <v>10175</v>
      </c>
      <c r="B9086" t="s">
        <v>78</v>
      </c>
      <c r="C9086">
        <v>8989697390</v>
      </c>
      <c r="D9086" s="2">
        <v>1</v>
      </c>
      <c r="E9086" t="str">
        <f>"4574674200962140"</f>
        <v>4574674200962140</v>
      </c>
      <c r="F9086" t="str">
        <f>"666"</f>
        <v>666</v>
      </c>
      <c r="G9086">
        <v>1</v>
      </c>
      <c r="H9086">
        <v>2023</v>
      </c>
      <c r="I9086" t="s">
        <v>9201</v>
      </c>
    </row>
    <row r="9087" spans="1:9" x14ac:dyDescent="0.3">
      <c r="A9087" t="s">
        <v>10175</v>
      </c>
      <c r="B9087" t="s">
        <v>78</v>
      </c>
      <c r="C9087">
        <v>8989697390</v>
      </c>
      <c r="D9087" s="2">
        <v>1</v>
      </c>
      <c r="E9087" t="str">
        <f>"4574674200962157"</f>
        <v>4574674200962157</v>
      </c>
      <c r="F9087" t="str">
        <f>"140"</f>
        <v>140</v>
      </c>
      <c r="G9087">
        <v>1</v>
      </c>
      <c r="H9087">
        <v>2023</v>
      </c>
      <c r="I9087" t="s">
        <v>9202</v>
      </c>
    </row>
    <row r="9088" spans="1:9" x14ac:dyDescent="0.3">
      <c r="A9088" t="s">
        <v>10175</v>
      </c>
      <c r="B9088" t="s">
        <v>78</v>
      </c>
      <c r="C9088">
        <v>8989697390</v>
      </c>
      <c r="D9088" s="2">
        <v>1</v>
      </c>
      <c r="E9088" t="str">
        <f>"4574674200962207"</f>
        <v>4574674200962207</v>
      </c>
      <c r="F9088" t="str">
        <f>"750"</f>
        <v>750</v>
      </c>
      <c r="G9088">
        <v>1</v>
      </c>
      <c r="H9088">
        <v>2023</v>
      </c>
      <c r="I9088" t="s">
        <v>9203</v>
      </c>
    </row>
    <row r="9089" spans="1:9" x14ac:dyDescent="0.3">
      <c r="A9089" t="s">
        <v>10175</v>
      </c>
      <c r="B9089" t="s">
        <v>78</v>
      </c>
      <c r="C9089">
        <v>8989697390</v>
      </c>
      <c r="D9089" s="2">
        <v>1</v>
      </c>
      <c r="E9089" t="str">
        <f>"4574674200962470"</f>
        <v>4574674200962470</v>
      </c>
      <c r="F9089" t="str">
        <f>"422"</f>
        <v>422</v>
      </c>
      <c r="G9089">
        <v>1</v>
      </c>
      <c r="H9089">
        <v>2023</v>
      </c>
      <c r="I9089" t="s">
        <v>9204</v>
      </c>
    </row>
    <row r="9090" spans="1:9" x14ac:dyDescent="0.3">
      <c r="A9090" t="s">
        <v>10175</v>
      </c>
      <c r="B9090" t="s">
        <v>78</v>
      </c>
      <c r="C9090">
        <v>8989697390</v>
      </c>
      <c r="D9090" s="2">
        <v>1</v>
      </c>
      <c r="E9090" t="str">
        <f>"4574674200962496"</f>
        <v>4574674200962496</v>
      </c>
      <c r="F9090" t="str">
        <f>"163"</f>
        <v>163</v>
      </c>
      <c r="G9090">
        <v>1</v>
      </c>
      <c r="H9090">
        <v>2023</v>
      </c>
      <c r="I9090" t="s">
        <v>9205</v>
      </c>
    </row>
    <row r="9091" spans="1:9" x14ac:dyDescent="0.3">
      <c r="A9091" t="s">
        <v>10175</v>
      </c>
      <c r="B9091" t="s">
        <v>78</v>
      </c>
      <c r="C9091">
        <v>8989697390</v>
      </c>
      <c r="D9091" s="2">
        <v>1</v>
      </c>
      <c r="E9091" t="str">
        <f>"4574674200962488"</f>
        <v>4574674200962488</v>
      </c>
      <c r="F9091" t="str">
        <f>"493"</f>
        <v>493</v>
      </c>
      <c r="G9091">
        <v>1</v>
      </c>
      <c r="H9091">
        <v>2023</v>
      </c>
      <c r="I9091" t="s">
        <v>9206</v>
      </c>
    </row>
    <row r="9092" spans="1:9" x14ac:dyDescent="0.3">
      <c r="A9092" t="s">
        <v>10175</v>
      </c>
      <c r="B9092" t="s">
        <v>78</v>
      </c>
      <c r="C9092">
        <v>8989697390</v>
      </c>
      <c r="D9092" s="2">
        <v>1</v>
      </c>
      <c r="E9092" t="str">
        <f>"4574674200962512"</f>
        <v>4574674200962512</v>
      </c>
      <c r="F9092" t="str">
        <f>"625"</f>
        <v>625</v>
      </c>
      <c r="G9092">
        <v>1</v>
      </c>
      <c r="H9092">
        <v>2023</v>
      </c>
      <c r="I9092" t="s">
        <v>9207</v>
      </c>
    </row>
    <row r="9093" spans="1:9" x14ac:dyDescent="0.3">
      <c r="A9093" t="s">
        <v>10175</v>
      </c>
      <c r="B9093" t="s">
        <v>78</v>
      </c>
      <c r="C9093">
        <v>8989697390</v>
      </c>
      <c r="D9093" s="2">
        <v>1</v>
      </c>
      <c r="E9093" t="str">
        <f>"4574674200962520"</f>
        <v>4574674200962520</v>
      </c>
      <c r="F9093" t="str">
        <f>"507"</f>
        <v>507</v>
      </c>
      <c r="G9093">
        <v>1</v>
      </c>
      <c r="H9093">
        <v>2023</v>
      </c>
      <c r="I9093" t="s">
        <v>9208</v>
      </c>
    </row>
    <row r="9094" spans="1:9" x14ac:dyDescent="0.3">
      <c r="A9094" t="s">
        <v>10175</v>
      </c>
      <c r="B9094" t="s">
        <v>78</v>
      </c>
      <c r="C9094">
        <v>8989697390</v>
      </c>
      <c r="D9094" s="2">
        <v>1</v>
      </c>
      <c r="E9094" t="str">
        <f>"4574674200962215"</f>
        <v>4574674200962215</v>
      </c>
      <c r="F9094" t="str">
        <f>"946"</f>
        <v>946</v>
      </c>
      <c r="G9094">
        <v>1</v>
      </c>
      <c r="H9094">
        <v>2023</v>
      </c>
      <c r="I9094" t="s">
        <v>9209</v>
      </c>
    </row>
    <row r="9095" spans="1:9" x14ac:dyDescent="0.3">
      <c r="A9095" t="s">
        <v>10175</v>
      </c>
      <c r="B9095" t="s">
        <v>78</v>
      </c>
      <c r="C9095">
        <v>8989697390</v>
      </c>
      <c r="D9095" s="2">
        <v>1</v>
      </c>
      <c r="E9095" t="str">
        <f>"4574674200962546"</f>
        <v>4574674200962546</v>
      </c>
      <c r="F9095" t="str">
        <f>"424"</f>
        <v>424</v>
      </c>
      <c r="G9095">
        <v>1</v>
      </c>
      <c r="H9095">
        <v>2023</v>
      </c>
      <c r="I9095" t="s">
        <v>9210</v>
      </c>
    </row>
    <row r="9096" spans="1:9" x14ac:dyDescent="0.3">
      <c r="A9096" t="s">
        <v>10168</v>
      </c>
      <c r="B9096" t="s">
        <v>69</v>
      </c>
      <c r="C9096">
        <v>8989697390</v>
      </c>
      <c r="D9096" s="2">
        <v>1</v>
      </c>
      <c r="E9096" t="str">
        <f>"4574674200962603"</f>
        <v>4574674200962603</v>
      </c>
      <c r="F9096" t="str">
        <f>"162"</f>
        <v>162</v>
      </c>
      <c r="G9096">
        <v>1</v>
      </c>
      <c r="H9096">
        <v>2023</v>
      </c>
      <c r="I9096" t="s">
        <v>9211</v>
      </c>
    </row>
    <row r="9097" spans="1:9" x14ac:dyDescent="0.3">
      <c r="A9097" t="s">
        <v>10168</v>
      </c>
      <c r="B9097" t="s">
        <v>69</v>
      </c>
      <c r="C9097">
        <v>8989697390</v>
      </c>
      <c r="D9097" s="2">
        <v>1</v>
      </c>
      <c r="E9097" t="str">
        <f>"4574674200962678"</f>
        <v>4574674200962678</v>
      </c>
      <c r="F9097" t="str">
        <f>"744"</f>
        <v>744</v>
      </c>
      <c r="G9097">
        <v>1</v>
      </c>
      <c r="H9097">
        <v>2023</v>
      </c>
      <c r="I9097" t="s">
        <v>9212</v>
      </c>
    </row>
    <row r="9098" spans="1:9" x14ac:dyDescent="0.3">
      <c r="A9098" t="s">
        <v>10168</v>
      </c>
      <c r="B9098" t="s">
        <v>69</v>
      </c>
      <c r="C9098">
        <v>8989697390</v>
      </c>
      <c r="D9098" s="2">
        <v>1</v>
      </c>
      <c r="E9098" t="str">
        <f>"4574674200962686"</f>
        <v>4574674200962686</v>
      </c>
      <c r="F9098" t="str">
        <f>"623"</f>
        <v>623</v>
      </c>
      <c r="G9098">
        <v>1</v>
      </c>
      <c r="H9098">
        <v>2023</v>
      </c>
      <c r="I9098" t="s">
        <v>9213</v>
      </c>
    </row>
    <row r="9099" spans="1:9" x14ac:dyDescent="0.3">
      <c r="A9099" t="s">
        <v>10168</v>
      </c>
      <c r="B9099" t="s">
        <v>69</v>
      </c>
      <c r="C9099">
        <v>8989697390</v>
      </c>
      <c r="D9099" s="2">
        <v>1</v>
      </c>
      <c r="E9099" t="str">
        <f>"4574674200962694"</f>
        <v>4574674200962694</v>
      </c>
      <c r="F9099" t="str">
        <f>"669"</f>
        <v>669</v>
      </c>
      <c r="G9099">
        <v>1</v>
      </c>
      <c r="H9099">
        <v>2023</v>
      </c>
      <c r="I9099" t="s">
        <v>9214</v>
      </c>
    </row>
    <row r="9100" spans="1:9" x14ac:dyDescent="0.3">
      <c r="A9100" t="s">
        <v>10168</v>
      </c>
      <c r="B9100" t="s">
        <v>69</v>
      </c>
      <c r="C9100">
        <v>8989697390</v>
      </c>
      <c r="D9100" s="2">
        <v>1</v>
      </c>
      <c r="E9100" t="str">
        <f>"4574674200962249"</f>
        <v>4574674200962249</v>
      </c>
      <c r="F9100" t="str">
        <f>"637"</f>
        <v>637</v>
      </c>
      <c r="G9100">
        <v>1</v>
      </c>
      <c r="H9100">
        <v>2023</v>
      </c>
      <c r="I9100" t="s">
        <v>9215</v>
      </c>
    </row>
    <row r="9101" spans="1:9" x14ac:dyDescent="0.3">
      <c r="A9101" t="s">
        <v>10168</v>
      </c>
      <c r="B9101" t="s">
        <v>69</v>
      </c>
      <c r="C9101">
        <v>8989697390</v>
      </c>
      <c r="D9101" s="2">
        <v>1</v>
      </c>
      <c r="E9101" t="str">
        <f>"4574674200962736"</f>
        <v>4574674200962736</v>
      </c>
      <c r="F9101" t="str">
        <f>"164"</f>
        <v>164</v>
      </c>
      <c r="G9101">
        <v>1</v>
      </c>
      <c r="H9101">
        <v>2023</v>
      </c>
      <c r="I9101" t="s">
        <v>9216</v>
      </c>
    </row>
    <row r="9102" spans="1:9" x14ac:dyDescent="0.3">
      <c r="A9102" t="s">
        <v>10168</v>
      </c>
      <c r="B9102" t="s">
        <v>69</v>
      </c>
      <c r="C9102">
        <v>8989697390</v>
      </c>
      <c r="D9102" s="2">
        <v>1</v>
      </c>
      <c r="E9102" t="str">
        <f>"4574674200962827"</f>
        <v>4574674200962827</v>
      </c>
      <c r="F9102" t="str">
        <f>"151"</f>
        <v>151</v>
      </c>
      <c r="G9102">
        <v>1</v>
      </c>
      <c r="H9102">
        <v>2023</v>
      </c>
      <c r="I9102" t="s">
        <v>9217</v>
      </c>
    </row>
    <row r="9103" spans="1:9" x14ac:dyDescent="0.3">
      <c r="A9103" t="s">
        <v>10168</v>
      </c>
      <c r="B9103" t="s">
        <v>69</v>
      </c>
      <c r="C9103">
        <v>8989697390</v>
      </c>
      <c r="D9103" s="2">
        <v>1</v>
      </c>
      <c r="E9103" t="str">
        <f>"4574674200962843"</f>
        <v>4574674200962843</v>
      </c>
      <c r="F9103" t="str">
        <f>"653"</f>
        <v>653</v>
      </c>
      <c r="G9103">
        <v>1</v>
      </c>
      <c r="H9103">
        <v>2023</v>
      </c>
      <c r="I9103" t="s">
        <v>9218</v>
      </c>
    </row>
    <row r="9104" spans="1:9" x14ac:dyDescent="0.3">
      <c r="A9104" t="s">
        <v>10168</v>
      </c>
      <c r="B9104" t="s">
        <v>69</v>
      </c>
      <c r="C9104">
        <v>8989697390</v>
      </c>
      <c r="D9104" s="2">
        <v>1</v>
      </c>
      <c r="E9104" t="str">
        <f>"4574674200962850"</f>
        <v>4574674200962850</v>
      </c>
      <c r="F9104" t="str">
        <f>"529"</f>
        <v>529</v>
      </c>
      <c r="G9104">
        <v>1</v>
      </c>
      <c r="H9104">
        <v>2023</v>
      </c>
      <c r="I9104" t="s">
        <v>9219</v>
      </c>
    </row>
    <row r="9105" spans="1:9" x14ac:dyDescent="0.3">
      <c r="A9105" t="s">
        <v>10168</v>
      </c>
      <c r="B9105" t="s">
        <v>69</v>
      </c>
      <c r="C9105">
        <v>8989697390</v>
      </c>
      <c r="D9105" s="2">
        <v>1</v>
      </c>
      <c r="E9105" t="str">
        <f>"4574674200962868"</f>
        <v>4574674200962868</v>
      </c>
      <c r="F9105" t="str">
        <f>"815"</f>
        <v>815</v>
      </c>
      <c r="G9105">
        <v>1</v>
      </c>
      <c r="H9105">
        <v>2023</v>
      </c>
      <c r="I9105" t="s">
        <v>9220</v>
      </c>
    </row>
    <row r="9106" spans="1:9" x14ac:dyDescent="0.3">
      <c r="A9106" t="s">
        <v>10124</v>
      </c>
      <c r="B9106" t="s">
        <v>79</v>
      </c>
      <c r="C9106">
        <v>8989697390</v>
      </c>
      <c r="D9106" s="2">
        <v>1</v>
      </c>
      <c r="E9106" t="str">
        <f>"4574674200962256"</f>
        <v>4574674200962256</v>
      </c>
      <c r="F9106" t="str">
        <f>"211"</f>
        <v>211</v>
      </c>
      <c r="G9106">
        <v>1</v>
      </c>
      <c r="H9106">
        <v>2023</v>
      </c>
      <c r="I9106" t="s">
        <v>9221</v>
      </c>
    </row>
    <row r="9107" spans="1:9" x14ac:dyDescent="0.3">
      <c r="A9107" t="s">
        <v>10124</v>
      </c>
      <c r="B9107" t="s">
        <v>79</v>
      </c>
      <c r="C9107">
        <v>8989697390</v>
      </c>
      <c r="D9107" s="2">
        <v>1</v>
      </c>
      <c r="E9107" t="str">
        <f>"4574674200962900"</f>
        <v>4574674200962900</v>
      </c>
      <c r="F9107" t="str">
        <f>"406"</f>
        <v>406</v>
      </c>
      <c r="G9107">
        <v>1</v>
      </c>
      <c r="H9107">
        <v>2023</v>
      </c>
      <c r="I9107" t="s">
        <v>9222</v>
      </c>
    </row>
    <row r="9108" spans="1:9" x14ac:dyDescent="0.3">
      <c r="A9108" t="s">
        <v>10124</v>
      </c>
      <c r="B9108" t="s">
        <v>79</v>
      </c>
      <c r="C9108">
        <v>8989697390</v>
      </c>
      <c r="D9108" s="2">
        <v>1</v>
      </c>
      <c r="E9108" t="str">
        <f>"4574674200962983"</f>
        <v>4574674200962983</v>
      </c>
      <c r="F9108" t="str">
        <f>"693"</f>
        <v>693</v>
      </c>
      <c r="G9108">
        <v>1</v>
      </c>
      <c r="H9108">
        <v>2023</v>
      </c>
      <c r="I9108" t="s">
        <v>9223</v>
      </c>
    </row>
    <row r="9109" spans="1:9" x14ac:dyDescent="0.3">
      <c r="A9109" t="s">
        <v>10124</v>
      </c>
      <c r="B9109" t="s">
        <v>79</v>
      </c>
      <c r="C9109">
        <v>8989697390</v>
      </c>
      <c r="D9109" s="2">
        <v>1</v>
      </c>
      <c r="E9109" t="str">
        <f>"4574674200962975"</f>
        <v>4574674200962975</v>
      </c>
      <c r="F9109" t="str">
        <f>"243"</f>
        <v>243</v>
      </c>
      <c r="G9109">
        <v>1</v>
      </c>
      <c r="H9109">
        <v>2023</v>
      </c>
      <c r="I9109" t="s">
        <v>9224</v>
      </c>
    </row>
    <row r="9110" spans="1:9" x14ac:dyDescent="0.3">
      <c r="A9110" t="s">
        <v>10124</v>
      </c>
      <c r="B9110" t="s">
        <v>79</v>
      </c>
      <c r="C9110">
        <v>8989697390</v>
      </c>
      <c r="D9110" s="2">
        <v>1</v>
      </c>
      <c r="E9110" t="str">
        <f>"4574674200963007"</f>
        <v>4574674200963007</v>
      </c>
      <c r="F9110" t="str">
        <f>"807"</f>
        <v>807</v>
      </c>
      <c r="G9110">
        <v>1</v>
      </c>
      <c r="H9110">
        <v>2023</v>
      </c>
      <c r="I9110" t="s">
        <v>9225</v>
      </c>
    </row>
    <row r="9111" spans="1:9" x14ac:dyDescent="0.3">
      <c r="A9111" t="s">
        <v>10124</v>
      </c>
      <c r="B9111" t="s">
        <v>79</v>
      </c>
      <c r="C9111">
        <v>8989697390</v>
      </c>
      <c r="D9111" s="2">
        <v>1</v>
      </c>
      <c r="E9111" t="str">
        <f>"4574674200963031"</f>
        <v>4574674200963031</v>
      </c>
      <c r="F9111" t="str">
        <f>"801"</f>
        <v>801</v>
      </c>
      <c r="G9111">
        <v>1</v>
      </c>
      <c r="H9111">
        <v>2023</v>
      </c>
      <c r="I9111" t="s">
        <v>9226</v>
      </c>
    </row>
    <row r="9112" spans="1:9" x14ac:dyDescent="0.3">
      <c r="A9112" t="s">
        <v>10124</v>
      </c>
      <c r="B9112" t="s">
        <v>79</v>
      </c>
      <c r="C9112">
        <v>8989697390</v>
      </c>
      <c r="D9112" s="2">
        <v>1</v>
      </c>
      <c r="E9112" t="str">
        <f>"4574674200962280"</f>
        <v>4574674200962280</v>
      </c>
      <c r="F9112" t="str">
        <f>"458"</f>
        <v>458</v>
      </c>
      <c r="G9112">
        <v>1</v>
      </c>
      <c r="H9112">
        <v>2023</v>
      </c>
      <c r="I9112" t="s">
        <v>9227</v>
      </c>
    </row>
    <row r="9113" spans="1:9" x14ac:dyDescent="0.3">
      <c r="A9113" t="s">
        <v>10124</v>
      </c>
      <c r="B9113" t="s">
        <v>79</v>
      </c>
      <c r="C9113">
        <v>8989697390</v>
      </c>
      <c r="D9113" s="2">
        <v>1</v>
      </c>
      <c r="E9113" t="str">
        <f>"4574674200963106"</f>
        <v>4574674200963106</v>
      </c>
      <c r="F9113" t="str">
        <f>"341"</f>
        <v>341</v>
      </c>
      <c r="G9113">
        <v>1</v>
      </c>
      <c r="H9113">
        <v>2023</v>
      </c>
      <c r="I9113" t="s">
        <v>9228</v>
      </c>
    </row>
    <row r="9114" spans="1:9" x14ac:dyDescent="0.3">
      <c r="A9114" t="s">
        <v>10124</v>
      </c>
      <c r="B9114" t="s">
        <v>79</v>
      </c>
      <c r="C9114">
        <v>8989697390</v>
      </c>
      <c r="D9114" s="2">
        <v>1</v>
      </c>
      <c r="E9114" t="str">
        <f>"4574674200963148"</f>
        <v>4574674200963148</v>
      </c>
      <c r="F9114" t="str">
        <f>"689"</f>
        <v>689</v>
      </c>
      <c r="G9114">
        <v>1</v>
      </c>
      <c r="H9114">
        <v>2023</v>
      </c>
      <c r="I9114" t="s">
        <v>9229</v>
      </c>
    </row>
    <row r="9115" spans="1:9" x14ac:dyDescent="0.3">
      <c r="A9115" t="s">
        <v>10124</v>
      </c>
      <c r="B9115" t="s">
        <v>79</v>
      </c>
      <c r="C9115">
        <v>8989697390</v>
      </c>
      <c r="D9115" s="2">
        <v>1</v>
      </c>
      <c r="E9115" t="str">
        <f>"4574674200963189"</f>
        <v>4574674200963189</v>
      </c>
      <c r="F9115" t="str">
        <f>"545"</f>
        <v>545</v>
      </c>
      <c r="G9115">
        <v>1</v>
      </c>
      <c r="H9115">
        <v>2023</v>
      </c>
      <c r="I9115" t="s">
        <v>9230</v>
      </c>
    </row>
    <row r="9116" spans="1:9" x14ac:dyDescent="0.3">
      <c r="A9116" t="s">
        <v>10125</v>
      </c>
      <c r="B9116" t="s">
        <v>80</v>
      </c>
      <c r="C9116">
        <v>8989697390</v>
      </c>
      <c r="D9116" s="2">
        <v>1</v>
      </c>
      <c r="E9116" t="str">
        <f>"4574674200963171"</f>
        <v>4574674200963171</v>
      </c>
      <c r="F9116" t="str">
        <f>"319"</f>
        <v>319</v>
      </c>
      <c r="G9116">
        <v>1</v>
      </c>
      <c r="H9116">
        <v>2023</v>
      </c>
      <c r="I9116" t="s">
        <v>9231</v>
      </c>
    </row>
    <row r="9117" spans="1:9" x14ac:dyDescent="0.3">
      <c r="A9117" t="s">
        <v>10125</v>
      </c>
      <c r="B9117" t="s">
        <v>80</v>
      </c>
      <c r="C9117">
        <v>8989697390</v>
      </c>
      <c r="D9117" s="2">
        <v>1</v>
      </c>
      <c r="E9117" t="str">
        <f>"4574674200963205"</f>
        <v>4574674200963205</v>
      </c>
      <c r="F9117" t="str">
        <f>"291"</f>
        <v>291</v>
      </c>
      <c r="G9117">
        <v>1</v>
      </c>
      <c r="H9117">
        <v>2023</v>
      </c>
      <c r="I9117" t="s">
        <v>9232</v>
      </c>
    </row>
    <row r="9118" spans="1:9" x14ac:dyDescent="0.3">
      <c r="A9118" t="s">
        <v>10125</v>
      </c>
      <c r="B9118" t="s">
        <v>80</v>
      </c>
      <c r="C9118">
        <v>8989697390</v>
      </c>
      <c r="D9118" s="2">
        <v>1</v>
      </c>
      <c r="E9118" t="str">
        <f>"4574674200963247"</f>
        <v>4574674200963247</v>
      </c>
      <c r="F9118" t="str">
        <f>"807"</f>
        <v>807</v>
      </c>
      <c r="G9118">
        <v>1</v>
      </c>
      <c r="H9118">
        <v>2023</v>
      </c>
      <c r="I9118" t="s">
        <v>9233</v>
      </c>
    </row>
    <row r="9119" spans="1:9" x14ac:dyDescent="0.3">
      <c r="A9119" t="s">
        <v>10125</v>
      </c>
      <c r="B9119" t="s">
        <v>80</v>
      </c>
      <c r="C9119">
        <v>8989697390</v>
      </c>
      <c r="D9119" s="2">
        <v>1</v>
      </c>
      <c r="E9119" t="str">
        <f>"4574674200962298"</f>
        <v>4574674200962298</v>
      </c>
      <c r="F9119" t="str">
        <f>"707"</f>
        <v>707</v>
      </c>
      <c r="G9119">
        <v>1</v>
      </c>
      <c r="H9119">
        <v>2023</v>
      </c>
      <c r="I9119" t="s">
        <v>9234</v>
      </c>
    </row>
    <row r="9120" spans="1:9" x14ac:dyDescent="0.3">
      <c r="A9120" t="s">
        <v>10125</v>
      </c>
      <c r="B9120" t="s">
        <v>80</v>
      </c>
      <c r="C9120">
        <v>8989697390</v>
      </c>
      <c r="D9120" s="2">
        <v>1</v>
      </c>
      <c r="E9120" t="str">
        <f>"4574674200963320"</f>
        <v>4574674200963320</v>
      </c>
      <c r="F9120" t="str">
        <f>"652"</f>
        <v>652</v>
      </c>
      <c r="G9120">
        <v>1</v>
      </c>
      <c r="H9120">
        <v>2023</v>
      </c>
      <c r="I9120" t="s">
        <v>9235</v>
      </c>
    </row>
    <row r="9121" spans="1:9" x14ac:dyDescent="0.3">
      <c r="A9121" t="s">
        <v>10125</v>
      </c>
      <c r="B9121" t="s">
        <v>80</v>
      </c>
      <c r="C9121">
        <v>8989697390</v>
      </c>
      <c r="D9121" s="2">
        <v>1</v>
      </c>
      <c r="E9121" t="str">
        <f>"4574674200963338"</f>
        <v>4574674200963338</v>
      </c>
      <c r="F9121" t="str">
        <f>"327"</f>
        <v>327</v>
      </c>
      <c r="G9121">
        <v>1</v>
      </c>
      <c r="H9121">
        <v>2023</v>
      </c>
      <c r="I9121" t="s">
        <v>9236</v>
      </c>
    </row>
    <row r="9122" spans="1:9" x14ac:dyDescent="0.3">
      <c r="A9122" t="s">
        <v>10125</v>
      </c>
      <c r="B9122" t="s">
        <v>80</v>
      </c>
      <c r="C9122">
        <v>8989697390</v>
      </c>
      <c r="D9122" s="2">
        <v>1</v>
      </c>
      <c r="E9122" t="str">
        <f>"4574674200963353"</f>
        <v>4574674200963353</v>
      </c>
      <c r="F9122" t="str">
        <f>"257"</f>
        <v>257</v>
      </c>
      <c r="G9122">
        <v>1</v>
      </c>
      <c r="H9122">
        <v>2023</v>
      </c>
      <c r="I9122" t="s">
        <v>9237</v>
      </c>
    </row>
    <row r="9123" spans="1:9" x14ac:dyDescent="0.3">
      <c r="A9123" t="s">
        <v>10125</v>
      </c>
      <c r="B9123" t="s">
        <v>80</v>
      </c>
      <c r="C9123">
        <v>8989697390</v>
      </c>
      <c r="D9123" s="2">
        <v>1</v>
      </c>
      <c r="E9123" t="str">
        <f>"4574674200963361"</f>
        <v>4574674200963361</v>
      </c>
      <c r="F9123" t="str">
        <f>"203"</f>
        <v>203</v>
      </c>
      <c r="G9123">
        <v>1</v>
      </c>
      <c r="H9123">
        <v>2023</v>
      </c>
      <c r="I9123" t="s">
        <v>9238</v>
      </c>
    </row>
    <row r="9124" spans="1:9" x14ac:dyDescent="0.3">
      <c r="A9124" t="s">
        <v>10125</v>
      </c>
      <c r="B9124" t="s">
        <v>80</v>
      </c>
      <c r="C9124">
        <v>8989697390</v>
      </c>
      <c r="D9124" s="2">
        <v>1</v>
      </c>
      <c r="E9124" t="str">
        <f>"4574674200962314"</f>
        <v>4574674200962314</v>
      </c>
      <c r="F9124" t="str">
        <f>"461"</f>
        <v>461</v>
      </c>
      <c r="G9124">
        <v>1</v>
      </c>
      <c r="H9124">
        <v>2023</v>
      </c>
      <c r="I9124" t="s">
        <v>9239</v>
      </c>
    </row>
    <row r="9125" spans="1:9" x14ac:dyDescent="0.3">
      <c r="A9125" t="s">
        <v>10125</v>
      </c>
      <c r="B9125" t="s">
        <v>80</v>
      </c>
      <c r="C9125">
        <v>8989697390</v>
      </c>
      <c r="D9125" s="2">
        <v>1</v>
      </c>
      <c r="E9125" t="str">
        <f>"4574674200963429"</f>
        <v>4574674200963429</v>
      </c>
      <c r="F9125" t="str">
        <f>"088"</f>
        <v>088</v>
      </c>
      <c r="G9125">
        <v>1</v>
      </c>
      <c r="H9125">
        <v>2023</v>
      </c>
      <c r="I9125" t="s">
        <v>9240</v>
      </c>
    </row>
    <row r="9126" spans="1:9" x14ac:dyDescent="0.3">
      <c r="A9126" t="s">
        <v>10163</v>
      </c>
      <c r="B9126" t="s">
        <v>57</v>
      </c>
      <c r="C9126">
        <v>8989697390</v>
      </c>
      <c r="D9126" s="2">
        <v>1</v>
      </c>
      <c r="E9126" t="str">
        <f>"4574674200963494"</f>
        <v>4574674200963494</v>
      </c>
      <c r="F9126" t="str">
        <f>"149"</f>
        <v>149</v>
      </c>
      <c r="G9126">
        <v>1</v>
      </c>
      <c r="H9126">
        <v>2023</v>
      </c>
      <c r="I9126" t="s">
        <v>9241</v>
      </c>
    </row>
    <row r="9127" spans="1:9" x14ac:dyDescent="0.3">
      <c r="A9127" t="s">
        <v>10163</v>
      </c>
      <c r="B9127" t="s">
        <v>57</v>
      </c>
      <c r="C9127">
        <v>8989697390</v>
      </c>
      <c r="D9127" s="2">
        <v>1</v>
      </c>
      <c r="E9127" t="str">
        <f>"4574674200963510"</f>
        <v>4574674200963510</v>
      </c>
      <c r="F9127" t="str">
        <f>"426"</f>
        <v>426</v>
      </c>
      <c r="G9127">
        <v>1</v>
      </c>
      <c r="H9127">
        <v>2023</v>
      </c>
      <c r="I9127" t="s">
        <v>9242</v>
      </c>
    </row>
    <row r="9128" spans="1:9" x14ac:dyDescent="0.3">
      <c r="A9128" t="s">
        <v>10163</v>
      </c>
      <c r="B9128" t="s">
        <v>57</v>
      </c>
      <c r="C9128">
        <v>8989697390</v>
      </c>
      <c r="D9128" s="2">
        <v>1</v>
      </c>
      <c r="E9128" t="str">
        <f>"4574674200963528"</f>
        <v>4574674200963528</v>
      </c>
      <c r="F9128" t="str">
        <f>"394"</f>
        <v>394</v>
      </c>
      <c r="G9128">
        <v>1</v>
      </c>
      <c r="H9128">
        <v>2023</v>
      </c>
      <c r="I9128" t="s">
        <v>9243</v>
      </c>
    </row>
    <row r="9129" spans="1:9" x14ac:dyDescent="0.3">
      <c r="A9129" t="s">
        <v>10163</v>
      </c>
      <c r="B9129" t="s">
        <v>57</v>
      </c>
      <c r="C9129">
        <v>8989697390</v>
      </c>
      <c r="D9129" s="2">
        <v>1</v>
      </c>
      <c r="E9129" t="str">
        <f>"4574674200963551"</f>
        <v>4574674200963551</v>
      </c>
      <c r="F9129" t="str">
        <f>"072"</f>
        <v>072</v>
      </c>
      <c r="G9129">
        <v>1</v>
      </c>
      <c r="H9129">
        <v>2023</v>
      </c>
      <c r="I9129" t="s">
        <v>9244</v>
      </c>
    </row>
    <row r="9130" spans="1:9" x14ac:dyDescent="0.3">
      <c r="A9130" t="s">
        <v>10163</v>
      </c>
      <c r="B9130" t="s">
        <v>57</v>
      </c>
      <c r="C9130">
        <v>8989697390</v>
      </c>
      <c r="D9130" s="2">
        <v>1</v>
      </c>
      <c r="E9130" t="str">
        <f>"4574674200963601"</f>
        <v>4574674200963601</v>
      </c>
      <c r="F9130" t="str">
        <f>"362"</f>
        <v>362</v>
      </c>
      <c r="G9130">
        <v>1</v>
      </c>
      <c r="H9130">
        <v>2023</v>
      </c>
      <c r="I9130" t="s">
        <v>9245</v>
      </c>
    </row>
    <row r="9131" spans="1:9" x14ac:dyDescent="0.3">
      <c r="A9131" t="s">
        <v>10163</v>
      </c>
      <c r="B9131" t="s">
        <v>57</v>
      </c>
      <c r="C9131">
        <v>8989697390</v>
      </c>
      <c r="D9131" s="2">
        <v>1</v>
      </c>
      <c r="E9131" t="str">
        <f>"4574674200962330"</f>
        <v>4574674200962330</v>
      </c>
      <c r="F9131" t="str">
        <f>"500"</f>
        <v>500</v>
      </c>
      <c r="G9131">
        <v>1</v>
      </c>
      <c r="H9131">
        <v>2023</v>
      </c>
      <c r="I9131" t="s">
        <v>9246</v>
      </c>
    </row>
    <row r="9132" spans="1:9" x14ac:dyDescent="0.3">
      <c r="A9132" t="s">
        <v>10163</v>
      </c>
      <c r="B9132" t="s">
        <v>57</v>
      </c>
      <c r="C9132">
        <v>8989697390</v>
      </c>
      <c r="D9132" s="2">
        <v>1</v>
      </c>
      <c r="E9132" t="str">
        <f>"4574674200963668"</f>
        <v>4574674200963668</v>
      </c>
      <c r="F9132" t="str">
        <f>"250"</f>
        <v>250</v>
      </c>
      <c r="G9132">
        <v>1</v>
      </c>
      <c r="H9132">
        <v>2023</v>
      </c>
      <c r="I9132" t="s">
        <v>9247</v>
      </c>
    </row>
    <row r="9133" spans="1:9" x14ac:dyDescent="0.3">
      <c r="A9133" t="s">
        <v>10163</v>
      </c>
      <c r="B9133" t="s">
        <v>57</v>
      </c>
      <c r="C9133">
        <v>8989697390</v>
      </c>
      <c r="D9133" s="2">
        <v>1</v>
      </c>
      <c r="E9133" t="str">
        <f>"4574674200963676"</f>
        <v>4574674200963676</v>
      </c>
      <c r="F9133" t="str">
        <f>"178"</f>
        <v>178</v>
      </c>
      <c r="G9133">
        <v>1</v>
      </c>
      <c r="H9133">
        <v>2023</v>
      </c>
      <c r="I9133" t="s">
        <v>9248</v>
      </c>
    </row>
    <row r="9134" spans="1:9" x14ac:dyDescent="0.3">
      <c r="A9134" t="s">
        <v>10163</v>
      </c>
      <c r="B9134" t="s">
        <v>57</v>
      </c>
      <c r="C9134">
        <v>8989697390</v>
      </c>
      <c r="D9134" s="2">
        <v>1</v>
      </c>
      <c r="E9134" t="str">
        <f>"4574674200962348"</f>
        <v>4574674200962348</v>
      </c>
      <c r="F9134" t="str">
        <f>"601"</f>
        <v>601</v>
      </c>
      <c r="G9134">
        <v>1</v>
      </c>
      <c r="H9134">
        <v>2023</v>
      </c>
      <c r="I9134" t="s">
        <v>9249</v>
      </c>
    </row>
    <row r="9135" spans="1:9" x14ac:dyDescent="0.3">
      <c r="A9135" t="s">
        <v>10163</v>
      </c>
      <c r="B9135" t="s">
        <v>57</v>
      </c>
      <c r="C9135">
        <v>8989697390</v>
      </c>
      <c r="D9135" s="2">
        <v>1</v>
      </c>
      <c r="E9135" t="str">
        <f>"4574674200963718"</f>
        <v>4574674200963718</v>
      </c>
      <c r="F9135" t="str">
        <f>"162"</f>
        <v>162</v>
      </c>
      <c r="G9135">
        <v>1</v>
      </c>
      <c r="H9135">
        <v>2023</v>
      </c>
      <c r="I9135" t="s">
        <v>9250</v>
      </c>
    </row>
    <row r="9136" spans="1:9" x14ac:dyDescent="0.3">
      <c r="A9136" t="s">
        <v>10164</v>
      </c>
      <c r="B9136" t="s">
        <v>58</v>
      </c>
      <c r="C9136">
        <v>8989697390</v>
      </c>
      <c r="D9136" s="2">
        <v>1</v>
      </c>
      <c r="E9136" t="str">
        <f>"4574674200963742"</f>
        <v>4574674200963742</v>
      </c>
      <c r="F9136" t="str">
        <f>"119"</f>
        <v>119</v>
      </c>
      <c r="G9136">
        <v>1</v>
      </c>
      <c r="H9136">
        <v>2023</v>
      </c>
      <c r="I9136" t="s">
        <v>9251</v>
      </c>
    </row>
    <row r="9137" spans="1:9" x14ac:dyDescent="0.3">
      <c r="A9137" t="s">
        <v>10164</v>
      </c>
      <c r="B9137" t="s">
        <v>58</v>
      </c>
      <c r="C9137">
        <v>8989697390</v>
      </c>
      <c r="D9137" s="2">
        <v>1</v>
      </c>
      <c r="E9137" t="str">
        <f>"4574674200963783"</f>
        <v>4574674200963783</v>
      </c>
      <c r="F9137" t="str">
        <f>"467"</f>
        <v>467</v>
      </c>
      <c r="G9137">
        <v>1</v>
      </c>
      <c r="H9137">
        <v>2023</v>
      </c>
      <c r="I9137" t="s">
        <v>9252</v>
      </c>
    </row>
    <row r="9138" spans="1:9" x14ac:dyDescent="0.3">
      <c r="A9138" t="s">
        <v>10164</v>
      </c>
      <c r="B9138" t="s">
        <v>58</v>
      </c>
      <c r="C9138">
        <v>8989697390</v>
      </c>
      <c r="D9138" s="2">
        <v>1</v>
      </c>
      <c r="E9138" t="str">
        <f>"4574674200963833"</f>
        <v>4574674200963833</v>
      </c>
      <c r="F9138" t="str">
        <f>"699"</f>
        <v>699</v>
      </c>
      <c r="G9138">
        <v>1</v>
      </c>
      <c r="H9138">
        <v>2023</v>
      </c>
      <c r="I9138" t="s">
        <v>9253</v>
      </c>
    </row>
    <row r="9139" spans="1:9" x14ac:dyDescent="0.3">
      <c r="A9139" t="s">
        <v>10164</v>
      </c>
      <c r="B9139" t="s">
        <v>58</v>
      </c>
      <c r="C9139">
        <v>8989697390</v>
      </c>
      <c r="D9139" s="2">
        <v>1</v>
      </c>
      <c r="E9139" t="str">
        <f>"4574674200963841"</f>
        <v>4574674200963841</v>
      </c>
      <c r="F9139" t="str">
        <f>"647"</f>
        <v>647</v>
      </c>
      <c r="G9139">
        <v>1</v>
      </c>
      <c r="H9139">
        <v>2023</v>
      </c>
      <c r="I9139" t="s">
        <v>9254</v>
      </c>
    </row>
    <row r="9140" spans="1:9" x14ac:dyDescent="0.3">
      <c r="A9140" t="s">
        <v>10164</v>
      </c>
      <c r="B9140" t="s">
        <v>58</v>
      </c>
      <c r="C9140">
        <v>8989697390</v>
      </c>
      <c r="D9140" s="2">
        <v>1</v>
      </c>
      <c r="E9140" t="str">
        <f>"4574674200963874"</f>
        <v>4574674200963874</v>
      </c>
      <c r="F9140" t="str">
        <f>"263"</f>
        <v>263</v>
      </c>
      <c r="G9140">
        <v>1</v>
      </c>
      <c r="H9140">
        <v>2023</v>
      </c>
      <c r="I9140" t="s">
        <v>9255</v>
      </c>
    </row>
    <row r="9141" spans="1:9" x14ac:dyDescent="0.3">
      <c r="A9141" t="s">
        <v>10164</v>
      </c>
      <c r="B9141" t="s">
        <v>58</v>
      </c>
      <c r="C9141">
        <v>8989697390</v>
      </c>
      <c r="D9141" s="2">
        <v>1</v>
      </c>
      <c r="E9141" t="str">
        <f>"4574674200963965"</f>
        <v>4574674200963965</v>
      </c>
      <c r="F9141" t="str">
        <f>"584"</f>
        <v>584</v>
      </c>
      <c r="G9141">
        <v>1</v>
      </c>
      <c r="H9141">
        <v>2023</v>
      </c>
      <c r="I9141" t="s">
        <v>9256</v>
      </c>
    </row>
    <row r="9142" spans="1:9" x14ac:dyDescent="0.3">
      <c r="A9142" t="s">
        <v>10164</v>
      </c>
      <c r="B9142" t="s">
        <v>58</v>
      </c>
      <c r="C9142">
        <v>8989697390</v>
      </c>
      <c r="D9142" s="2">
        <v>1</v>
      </c>
      <c r="E9142" t="str">
        <f>"4574674200963957"</f>
        <v>4574674200963957</v>
      </c>
      <c r="F9142" t="str">
        <f>"976"</f>
        <v>976</v>
      </c>
      <c r="G9142">
        <v>1</v>
      </c>
      <c r="H9142">
        <v>2023</v>
      </c>
      <c r="I9142" t="s">
        <v>9257</v>
      </c>
    </row>
    <row r="9143" spans="1:9" x14ac:dyDescent="0.3">
      <c r="A9143" t="s">
        <v>10164</v>
      </c>
      <c r="B9143" t="s">
        <v>58</v>
      </c>
      <c r="C9143">
        <v>8989697390</v>
      </c>
      <c r="D9143" s="2">
        <v>1</v>
      </c>
      <c r="E9143" t="str">
        <f>"4574674200964005"</f>
        <v>4574674200964005</v>
      </c>
      <c r="F9143" t="str">
        <f>"329"</f>
        <v>329</v>
      </c>
      <c r="G9143">
        <v>1</v>
      </c>
      <c r="H9143">
        <v>2023</v>
      </c>
      <c r="I9143" t="s">
        <v>9258</v>
      </c>
    </row>
    <row r="9144" spans="1:9" x14ac:dyDescent="0.3">
      <c r="A9144" t="s">
        <v>10164</v>
      </c>
      <c r="B9144" t="s">
        <v>58</v>
      </c>
      <c r="C9144">
        <v>8989697390</v>
      </c>
      <c r="D9144" s="2">
        <v>1</v>
      </c>
      <c r="E9144" t="str">
        <f>"4574674200962371"</f>
        <v>4574674200962371</v>
      </c>
      <c r="F9144" t="str">
        <f>"574"</f>
        <v>574</v>
      </c>
      <c r="G9144">
        <v>1</v>
      </c>
      <c r="H9144">
        <v>2023</v>
      </c>
      <c r="I9144" t="s">
        <v>9259</v>
      </c>
    </row>
    <row r="9145" spans="1:9" x14ac:dyDescent="0.3">
      <c r="A9145" t="s">
        <v>10164</v>
      </c>
      <c r="B9145" t="s">
        <v>58</v>
      </c>
      <c r="C9145">
        <v>8989697390</v>
      </c>
      <c r="D9145" s="2">
        <v>1</v>
      </c>
      <c r="E9145" t="str">
        <f>"4574674200964013"</f>
        <v>4574674200964013</v>
      </c>
      <c r="F9145" t="str">
        <f>"263"</f>
        <v>263</v>
      </c>
      <c r="G9145">
        <v>1</v>
      </c>
      <c r="H9145">
        <v>2023</v>
      </c>
      <c r="I9145" t="s">
        <v>9260</v>
      </c>
    </row>
    <row r="9146" spans="1:9" x14ac:dyDescent="0.3">
      <c r="A9146" t="s">
        <v>10124</v>
      </c>
      <c r="B9146" t="s">
        <v>79</v>
      </c>
      <c r="C9146">
        <v>8989697390</v>
      </c>
      <c r="D9146" s="2">
        <v>1</v>
      </c>
      <c r="E9146" t="str">
        <f>"4574674200962397"</f>
        <v>4574674200962397</v>
      </c>
      <c r="F9146" t="str">
        <f>"506"</f>
        <v>506</v>
      </c>
      <c r="G9146">
        <v>1</v>
      </c>
      <c r="H9146">
        <v>2023</v>
      </c>
      <c r="I9146" t="s">
        <v>9261</v>
      </c>
    </row>
    <row r="9147" spans="1:9" x14ac:dyDescent="0.3">
      <c r="A9147" t="s">
        <v>10124</v>
      </c>
      <c r="B9147" t="s">
        <v>79</v>
      </c>
      <c r="C9147">
        <v>8989697390</v>
      </c>
      <c r="D9147" s="2">
        <v>1</v>
      </c>
      <c r="E9147" t="str">
        <f>"4574674200964047"</f>
        <v>4574674200964047</v>
      </c>
      <c r="F9147" t="str">
        <f>"267"</f>
        <v>267</v>
      </c>
      <c r="G9147">
        <v>1</v>
      </c>
      <c r="H9147">
        <v>2023</v>
      </c>
      <c r="I9147" t="s">
        <v>9262</v>
      </c>
    </row>
    <row r="9148" spans="1:9" x14ac:dyDescent="0.3">
      <c r="A9148" t="s">
        <v>10124</v>
      </c>
      <c r="B9148" t="s">
        <v>79</v>
      </c>
      <c r="C9148">
        <v>8989697390</v>
      </c>
      <c r="D9148" s="2">
        <v>1</v>
      </c>
      <c r="E9148" t="str">
        <f>"4574674200964120"</f>
        <v>4574674200964120</v>
      </c>
      <c r="F9148" t="str">
        <f>"896"</f>
        <v>896</v>
      </c>
      <c r="G9148">
        <v>1</v>
      </c>
      <c r="H9148">
        <v>2023</v>
      </c>
      <c r="I9148" t="s">
        <v>9263</v>
      </c>
    </row>
    <row r="9149" spans="1:9" x14ac:dyDescent="0.3">
      <c r="A9149" t="s">
        <v>10124</v>
      </c>
      <c r="B9149" t="s">
        <v>79</v>
      </c>
      <c r="C9149">
        <v>8989697390</v>
      </c>
      <c r="D9149" s="2">
        <v>1</v>
      </c>
      <c r="E9149" t="str">
        <f>"4574674200964146"</f>
        <v>4574674200964146</v>
      </c>
      <c r="F9149" t="str">
        <f>"260"</f>
        <v>260</v>
      </c>
      <c r="G9149">
        <v>1</v>
      </c>
      <c r="H9149">
        <v>2023</v>
      </c>
      <c r="I9149" t="s">
        <v>9264</v>
      </c>
    </row>
    <row r="9150" spans="1:9" x14ac:dyDescent="0.3">
      <c r="A9150" t="s">
        <v>10124</v>
      </c>
      <c r="B9150" t="s">
        <v>79</v>
      </c>
      <c r="C9150">
        <v>8989697390</v>
      </c>
      <c r="D9150" s="2">
        <v>1</v>
      </c>
      <c r="E9150" t="str">
        <f>"4574674200964179"</f>
        <v>4574674200964179</v>
      </c>
      <c r="F9150" t="str">
        <f>"665"</f>
        <v>665</v>
      </c>
      <c r="G9150">
        <v>1</v>
      </c>
      <c r="H9150">
        <v>2023</v>
      </c>
      <c r="I9150" t="s">
        <v>9265</v>
      </c>
    </row>
    <row r="9151" spans="1:9" x14ac:dyDescent="0.3">
      <c r="A9151" t="s">
        <v>10124</v>
      </c>
      <c r="B9151" t="s">
        <v>79</v>
      </c>
      <c r="C9151">
        <v>8989697390</v>
      </c>
      <c r="D9151" s="2">
        <v>1</v>
      </c>
      <c r="E9151" t="str">
        <f>"4574674200964187"</f>
        <v>4574674200964187</v>
      </c>
      <c r="F9151" t="str">
        <f>"059"</f>
        <v>059</v>
      </c>
      <c r="G9151">
        <v>1</v>
      </c>
      <c r="H9151">
        <v>2023</v>
      </c>
      <c r="I9151" t="s">
        <v>9266</v>
      </c>
    </row>
    <row r="9152" spans="1:9" x14ac:dyDescent="0.3">
      <c r="A9152" t="s">
        <v>10124</v>
      </c>
      <c r="B9152" t="s">
        <v>79</v>
      </c>
      <c r="C9152">
        <v>8989697390</v>
      </c>
      <c r="D9152" s="2">
        <v>1</v>
      </c>
      <c r="E9152" t="str">
        <f>"4574674200964419"</f>
        <v>4574674200964419</v>
      </c>
      <c r="F9152" t="str">
        <f>"278"</f>
        <v>278</v>
      </c>
      <c r="G9152">
        <v>1</v>
      </c>
      <c r="H9152">
        <v>2023</v>
      </c>
      <c r="I9152" t="s">
        <v>9267</v>
      </c>
    </row>
    <row r="9153" spans="1:9" x14ac:dyDescent="0.3">
      <c r="A9153" t="s">
        <v>10124</v>
      </c>
      <c r="B9153" t="s">
        <v>79</v>
      </c>
      <c r="C9153">
        <v>8989697390</v>
      </c>
      <c r="D9153" s="2">
        <v>1</v>
      </c>
      <c r="E9153" t="str">
        <f>"4574674200964468"</f>
        <v>4574674200964468</v>
      </c>
      <c r="F9153" t="str">
        <f>"874"</f>
        <v>874</v>
      </c>
      <c r="G9153">
        <v>1</v>
      </c>
      <c r="H9153">
        <v>2023</v>
      </c>
      <c r="I9153" t="s">
        <v>9268</v>
      </c>
    </row>
    <row r="9154" spans="1:9" x14ac:dyDescent="0.3">
      <c r="A9154" t="s">
        <v>10124</v>
      </c>
      <c r="B9154" t="s">
        <v>79</v>
      </c>
      <c r="C9154">
        <v>8989697390</v>
      </c>
      <c r="D9154" s="2">
        <v>1</v>
      </c>
      <c r="E9154" t="str">
        <f>"4574674200964500"</f>
        <v>4574674200964500</v>
      </c>
      <c r="F9154" t="str">
        <f>"166"</f>
        <v>166</v>
      </c>
      <c r="G9154">
        <v>1</v>
      </c>
      <c r="H9154">
        <v>2023</v>
      </c>
      <c r="I9154" t="s">
        <v>9269</v>
      </c>
    </row>
    <row r="9155" spans="1:9" x14ac:dyDescent="0.3">
      <c r="A9155" t="s">
        <v>10124</v>
      </c>
      <c r="B9155" t="s">
        <v>79</v>
      </c>
      <c r="C9155">
        <v>8989697390</v>
      </c>
      <c r="D9155" s="2">
        <v>1</v>
      </c>
      <c r="E9155" t="str">
        <f>"4574674200964542"</f>
        <v>4574674200964542</v>
      </c>
      <c r="F9155" t="str">
        <f>"111"</f>
        <v>111</v>
      </c>
      <c r="G9155">
        <v>1</v>
      </c>
      <c r="H9155">
        <v>2023</v>
      </c>
      <c r="I9155" t="s">
        <v>9270</v>
      </c>
    </row>
    <row r="9156" spans="1:9" x14ac:dyDescent="0.3">
      <c r="A9156" t="s">
        <v>10125</v>
      </c>
      <c r="B9156" t="s">
        <v>80</v>
      </c>
      <c r="C9156">
        <v>8989697390</v>
      </c>
      <c r="D9156" s="2">
        <v>1</v>
      </c>
      <c r="E9156" t="str">
        <f>"4574674200964229"</f>
        <v>4574674200964229</v>
      </c>
      <c r="F9156" t="str">
        <f>"374"</f>
        <v>374</v>
      </c>
      <c r="G9156">
        <v>1</v>
      </c>
      <c r="H9156">
        <v>2023</v>
      </c>
      <c r="I9156" t="s">
        <v>9271</v>
      </c>
    </row>
    <row r="9157" spans="1:9" x14ac:dyDescent="0.3">
      <c r="A9157" t="s">
        <v>10125</v>
      </c>
      <c r="B9157" t="s">
        <v>80</v>
      </c>
      <c r="C9157">
        <v>8989697390</v>
      </c>
      <c r="D9157" s="2">
        <v>1</v>
      </c>
      <c r="E9157" t="str">
        <f>"4574674200964237"</f>
        <v>4574674200964237</v>
      </c>
      <c r="F9157" t="str">
        <f>"524"</f>
        <v>524</v>
      </c>
      <c r="G9157">
        <v>1</v>
      </c>
      <c r="H9157">
        <v>2023</v>
      </c>
      <c r="I9157" t="s">
        <v>9272</v>
      </c>
    </row>
    <row r="9158" spans="1:9" x14ac:dyDescent="0.3">
      <c r="A9158" t="s">
        <v>10125</v>
      </c>
      <c r="B9158" t="s">
        <v>80</v>
      </c>
      <c r="C9158">
        <v>8989697390</v>
      </c>
      <c r="D9158" s="2">
        <v>1</v>
      </c>
      <c r="E9158" t="str">
        <f>"4574674200964575"</f>
        <v>4574674200964575</v>
      </c>
      <c r="F9158" t="str">
        <f>"867"</f>
        <v>867</v>
      </c>
      <c r="G9158">
        <v>1</v>
      </c>
      <c r="H9158">
        <v>2023</v>
      </c>
      <c r="I9158" t="s">
        <v>9273</v>
      </c>
    </row>
    <row r="9159" spans="1:9" x14ac:dyDescent="0.3">
      <c r="A9159" t="s">
        <v>10125</v>
      </c>
      <c r="B9159" t="s">
        <v>80</v>
      </c>
      <c r="C9159">
        <v>8989697390</v>
      </c>
      <c r="D9159" s="2">
        <v>1</v>
      </c>
      <c r="E9159" t="str">
        <f>"4574674200964617"</f>
        <v>4574674200964617</v>
      </c>
      <c r="F9159" t="str">
        <f>"583"</f>
        <v>583</v>
      </c>
      <c r="G9159">
        <v>1</v>
      </c>
      <c r="H9159">
        <v>2023</v>
      </c>
      <c r="I9159" t="s">
        <v>9274</v>
      </c>
    </row>
    <row r="9160" spans="1:9" x14ac:dyDescent="0.3">
      <c r="A9160" t="s">
        <v>10125</v>
      </c>
      <c r="B9160" t="s">
        <v>80</v>
      </c>
      <c r="C9160">
        <v>8989697390</v>
      </c>
      <c r="D9160" s="2">
        <v>1</v>
      </c>
      <c r="E9160" t="str">
        <f>"4574674200964641"</f>
        <v>4574674200964641</v>
      </c>
      <c r="F9160" t="str">
        <f>"192"</f>
        <v>192</v>
      </c>
      <c r="G9160">
        <v>1</v>
      </c>
      <c r="H9160">
        <v>2023</v>
      </c>
      <c r="I9160" t="s">
        <v>9275</v>
      </c>
    </row>
    <row r="9161" spans="1:9" x14ac:dyDescent="0.3">
      <c r="A9161" t="s">
        <v>10125</v>
      </c>
      <c r="B9161" t="s">
        <v>80</v>
      </c>
      <c r="C9161">
        <v>8989697390</v>
      </c>
      <c r="D9161" s="2">
        <v>1</v>
      </c>
      <c r="E9161" t="str">
        <f>"4574674200964682"</f>
        <v>4574674200964682</v>
      </c>
      <c r="F9161" t="str">
        <f>"442"</f>
        <v>442</v>
      </c>
      <c r="G9161">
        <v>1</v>
      </c>
      <c r="H9161">
        <v>2023</v>
      </c>
      <c r="I9161" t="s">
        <v>9276</v>
      </c>
    </row>
    <row r="9162" spans="1:9" x14ac:dyDescent="0.3">
      <c r="A9162" t="s">
        <v>10125</v>
      </c>
      <c r="B9162" t="s">
        <v>80</v>
      </c>
      <c r="C9162">
        <v>8989697390</v>
      </c>
      <c r="D9162" s="2">
        <v>1</v>
      </c>
      <c r="E9162" t="str">
        <f>"4574674200964716"</f>
        <v>4574674200964716</v>
      </c>
      <c r="F9162" t="str">
        <f>"717"</f>
        <v>717</v>
      </c>
      <c r="G9162">
        <v>1</v>
      </c>
      <c r="H9162">
        <v>2023</v>
      </c>
      <c r="I9162" t="s">
        <v>9277</v>
      </c>
    </row>
    <row r="9163" spans="1:9" x14ac:dyDescent="0.3">
      <c r="A9163" t="s">
        <v>10125</v>
      </c>
      <c r="B9163" t="s">
        <v>80</v>
      </c>
      <c r="C9163">
        <v>8989697390</v>
      </c>
      <c r="D9163" s="2">
        <v>1</v>
      </c>
      <c r="E9163" t="str">
        <f>"4574674200964757"</f>
        <v>4574674200964757</v>
      </c>
      <c r="F9163" t="str">
        <f>"696"</f>
        <v>696</v>
      </c>
      <c r="G9163">
        <v>1</v>
      </c>
      <c r="H9163">
        <v>2023</v>
      </c>
      <c r="I9163" t="s">
        <v>9278</v>
      </c>
    </row>
    <row r="9164" spans="1:9" x14ac:dyDescent="0.3">
      <c r="A9164" t="s">
        <v>10125</v>
      </c>
      <c r="B9164" t="s">
        <v>80</v>
      </c>
      <c r="C9164">
        <v>8989697390</v>
      </c>
      <c r="D9164" s="2">
        <v>1</v>
      </c>
      <c r="E9164" t="str">
        <f>"4574674200964799"</f>
        <v>4574674200964799</v>
      </c>
      <c r="F9164" t="str">
        <f>"781"</f>
        <v>781</v>
      </c>
      <c r="G9164">
        <v>1</v>
      </c>
      <c r="H9164">
        <v>2023</v>
      </c>
      <c r="I9164" t="s">
        <v>9279</v>
      </c>
    </row>
    <row r="9165" spans="1:9" x14ac:dyDescent="0.3">
      <c r="A9165" t="s">
        <v>10125</v>
      </c>
      <c r="B9165" t="s">
        <v>80</v>
      </c>
      <c r="C9165">
        <v>8989697390</v>
      </c>
      <c r="D9165" s="2">
        <v>1</v>
      </c>
      <c r="E9165" t="str">
        <f>"4574674200964831"</f>
        <v>4574674200964831</v>
      </c>
      <c r="F9165" t="str">
        <f>"358"</f>
        <v>358</v>
      </c>
      <c r="G9165">
        <v>1</v>
      </c>
      <c r="H9165">
        <v>2023</v>
      </c>
      <c r="I9165" t="s">
        <v>9280</v>
      </c>
    </row>
    <row r="9166" spans="1:9" x14ac:dyDescent="0.3">
      <c r="A9166" t="s">
        <v>10169</v>
      </c>
      <c r="B9166" t="s">
        <v>70</v>
      </c>
      <c r="C9166">
        <v>8989697390</v>
      </c>
      <c r="D9166" s="2">
        <v>1</v>
      </c>
      <c r="E9166" t="str">
        <f>"4574674200964856"</f>
        <v>4574674200964856</v>
      </c>
      <c r="F9166" t="str">
        <f>"395"</f>
        <v>395</v>
      </c>
      <c r="G9166">
        <v>1</v>
      </c>
      <c r="H9166">
        <v>2023</v>
      </c>
      <c r="I9166" t="s">
        <v>9281</v>
      </c>
    </row>
    <row r="9167" spans="1:9" x14ac:dyDescent="0.3">
      <c r="A9167" t="s">
        <v>10169</v>
      </c>
      <c r="B9167" t="s">
        <v>70</v>
      </c>
      <c r="C9167">
        <v>8989697390</v>
      </c>
      <c r="D9167" s="2">
        <v>1</v>
      </c>
      <c r="E9167" t="str">
        <f>"4574674200964252"</f>
        <v>4574674200964252</v>
      </c>
      <c r="F9167" t="str">
        <f>"542"</f>
        <v>542</v>
      </c>
      <c r="G9167">
        <v>1</v>
      </c>
      <c r="H9167">
        <v>2023</v>
      </c>
      <c r="I9167" t="s">
        <v>9282</v>
      </c>
    </row>
    <row r="9168" spans="1:9" x14ac:dyDescent="0.3">
      <c r="A9168" t="s">
        <v>10169</v>
      </c>
      <c r="B9168" t="s">
        <v>70</v>
      </c>
      <c r="C9168">
        <v>8989697390</v>
      </c>
      <c r="D9168" s="2">
        <v>1</v>
      </c>
      <c r="E9168" t="str">
        <f>"4574674200964930"</f>
        <v>4574674200964930</v>
      </c>
      <c r="F9168" t="str">
        <f>"241"</f>
        <v>241</v>
      </c>
      <c r="G9168">
        <v>1</v>
      </c>
      <c r="H9168">
        <v>2023</v>
      </c>
      <c r="I9168" t="s">
        <v>9283</v>
      </c>
    </row>
    <row r="9169" spans="1:9" x14ac:dyDescent="0.3">
      <c r="A9169" t="s">
        <v>10169</v>
      </c>
      <c r="B9169" t="s">
        <v>70</v>
      </c>
      <c r="C9169">
        <v>8989697390</v>
      </c>
      <c r="D9169" s="2">
        <v>1</v>
      </c>
      <c r="E9169" t="str">
        <f>"4574674200964963"</f>
        <v>4574674200964963</v>
      </c>
      <c r="F9169" t="str">
        <f>"762"</f>
        <v>762</v>
      </c>
      <c r="G9169">
        <v>1</v>
      </c>
      <c r="H9169">
        <v>2023</v>
      </c>
      <c r="I9169" t="s">
        <v>9284</v>
      </c>
    </row>
    <row r="9170" spans="1:9" x14ac:dyDescent="0.3">
      <c r="A9170" t="s">
        <v>10169</v>
      </c>
      <c r="B9170" t="s">
        <v>70</v>
      </c>
      <c r="C9170">
        <v>8989697390</v>
      </c>
      <c r="D9170" s="2">
        <v>1</v>
      </c>
      <c r="E9170" t="str">
        <f>"4574674200964989"</f>
        <v>4574674200964989</v>
      </c>
      <c r="F9170" t="str">
        <f>"402"</f>
        <v>402</v>
      </c>
      <c r="G9170">
        <v>1</v>
      </c>
      <c r="H9170">
        <v>2023</v>
      </c>
      <c r="I9170" t="s">
        <v>9285</v>
      </c>
    </row>
    <row r="9171" spans="1:9" x14ac:dyDescent="0.3">
      <c r="A9171" t="s">
        <v>10169</v>
      </c>
      <c r="B9171" t="s">
        <v>70</v>
      </c>
      <c r="C9171">
        <v>8989697390</v>
      </c>
      <c r="D9171" s="2">
        <v>1</v>
      </c>
      <c r="E9171" t="str">
        <f>"4574674200964997"</f>
        <v>4574674200964997</v>
      </c>
      <c r="F9171" t="str">
        <f>"297"</f>
        <v>297</v>
      </c>
      <c r="G9171">
        <v>1</v>
      </c>
      <c r="H9171">
        <v>2023</v>
      </c>
      <c r="I9171" t="s">
        <v>9286</v>
      </c>
    </row>
    <row r="9172" spans="1:9" x14ac:dyDescent="0.3">
      <c r="A9172" t="s">
        <v>10169</v>
      </c>
      <c r="B9172" t="s">
        <v>70</v>
      </c>
      <c r="C9172">
        <v>8989697390</v>
      </c>
      <c r="D9172" s="2">
        <v>1</v>
      </c>
      <c r="E9172" t="str">
        <f>"4574674200964260"</f>
        <v>4574674200964260</v>
      </c>
      <c r="F9172" t="str">
        <f>"967"</f>
        <v>967</v>
      </c>
      <c r="G9172">
        <v>1</v>
      </c>
      <c r="H9172">
        <v>2023</v>
      </c>
      <c r="I9172" t="s">
        <v>9287</v>
      </c>
    </row>
    <row r="9173" spans="1:9" x14ac:dyDescent="0.3">
      <c r="A9173" t="s">
        <v>10169</v>
      </c>
      <c r="B9173" t="s">
        <v>70</v>
      </c>
      <c r="C9173">
        <v>8989697390</v>
      </c>
      <c r="D9173" s="2">
        <v>1</v>
      </c>
      <c r="E9173" t="str">
        <f>"4574674200965044"</f>
        <v>4574674200965044</v>
      </c>
      <c r="F9173" t="str">
        <f>"474"</f>
        <v>474</v>
      </c>
      <c r="G9173">
        <v>1</v>
      </c>
      <c r="H9173">
        <v>2023</v>
      </c>
      <c r="I9173" t="s">
        <v>9288</v>
      </c>
    </row>
    <row r="9174" spans="1:9" x14ac:dyDescent="0.3">
      <c r="A9174" t="s">
        <v>10169</v>
      </c>
      <c r="B9174" t="s">
        <v>70</v>
      </c>
      <c r="C9174">
        <v>8989697390</v>
      </c>
      <c r="D9174" s="2">
        <v>1</v>
      </c>
      <c r="E9174" t="str">
        <f>"4574674200965101"</f>
        <v>4574674200965101</v>
      </c>
      <c r="F9174" t="str">
        <f>"860"</f>
        <v>860</v>
      </c>
      <c r="G9174">
        <v>1</v>
      </c>
      <c r="H9174">
        <v>2023</v>
      </c>
      <c r="I9174" t="s">
        <v>9289</v>
      </c>
    </row>
    <row r="9175" spans="1:9" x14ac:dyDescent="0.3">
      <c r="A9175" t="s">
        <v>10169</v>
      </c>
      <c r="B9175" t="s">
        <v>70</v>
      </c>
      <c r="C9175">
        <v>8989697390</v>
      </c>
      <c r="D9175" s="2">
        <v>1</v>
      </c>
      <c r="E9175" t="str">
        <f>"4574674200965135"</f>
        <v>4574674200965135</v>
      </c>
      <c r="F9175" t="str">
        <f>"470"</f>
        <v>470</v>
      </c>
      <c r="G9175">
        <v>1</v>
      </c>
      <c r="H9175">
        <v>2023</v>
      </c>
      <c r="I9175" t="s">
        <v>9290</v>
      </c>
    </row>
    <row r="9176" spans="1:9" x14ac:dyDescent="0.3">
      <c r="A9176" t="s">
        <v>10128</v>
      </c>
      <c r="B9176" t="s">
        <v>71</v>
      </c>
      <c r="C9176">
        <v>8989697390</v>
      </c>
      <c r="D9176" s="2">
        <v>1</v>
      </c>
      <c r="E9176" t="str">
        <f>"4574674200965168"</f>
        <v>4574674200965168</v>
      </c>
      <c r="F9176" t="str">
        <f>"135"</f>
        <v>135</v>
      </c>
      <c r="G9176">
        <v>1</v>
      </c>
      <c r="H9176">
        <v>2023</v>
      </c>
      <c r="I9176" t="s">
        <v>9291</v>
      </c>
    </row>
    <row r="9177" spans="1:9" x14ac:dyDescent="0.3">
      <c r="A9177" t="s">
        <v>10128</v>
      </c>
      <c r="B9177" t="s">
        <v>71</v>
      </c>
      <c r="C9177">
        <v>8989697390</v>
      </c>
      <c r="D9177" s="2">
        <v>1</v>
      </c>
      <c r="E9177" t="str">
        <f>"4574674200965176"</f>
        <v>4574674200965176</v>
      </c>
      <c r="F9177" t="str">
        <f>"613"</f>
        <v>613</v>
      </c>
      <c r="G9177">
        <v>1</v>
      </c>
      <c r="H9177">
        <v>2023</v>
      </c>
      <c r="I9177" t="s">
        <v>9292</v>
      </c>
    </row>
    <row r="9178" spans="1:9" x14ac:dyDescent="0.3">
      <c r="A9178" t="s">
        <v>10128</v>
      </c>
      <c r="B9178" t="s">
        <v>71</v>
      </c>
      <c r="C9178">
        <v>8989697390</v>
      </c>
      <c r="D9178" s="2">
        <v>1</v>
      </c>
      <c r="E9178" t="str">
        <f>"4574674200965218"</f>
        <v>4574674200965218</v>
      </c>
      <c r="F9178" t="str">
        <f>"351"</f>
        <v>351</v>
      </c>
      <c r="G9178">
        <v>1</v>
      </c>
      <c r="H9178">
        <v>2023</v>
      </c>
      <c r="I9178" t="s">
        <v>9293</v>
      </c>
    </row>
    <row r="9179" spans="1:9" x14ac:dyDescent="0.3">
      <c r="A9179" t="s">
        <v>10128</v>
      </c>
      <c r="B9179" t="s">
        <v>71</v>
      </c>
      <c r="C9179">
        <v>8989697390</v>
      </c>
      <c r="D9179" s="2">
        <v>1</v>
      </c>
      <c r="E9179" t="str">
        <f>"4574674200964294"</f>
        <v>4574674200964294</v>
      </c>
      <c r="F9179" t="str">
        <f>"596"</f>
        <v>596</v>
      </c>
      <c r="G9179">
        <v>1</v>
      </c>
      <c r="H9179">
        <v>2023</v>
      </c>
      <c r="I9179" t="s">
        <v>9294</v>
      </c>
    </row>
    <row r="9180" spans="1:9" x14ac:dyDescent="0.3">
      <c r="A9180" t="s">
        <v>10128</v>
      </c>
      <c r="B9180" t="s">
        <v>71</v>
      </c>
      <c r="C9180">
        <v>8989697390</v>
      </c>
      <c r="D9180" s="2">
        <v>1</v>
      </c>
      <c r="E9180" t="str">
        <f>"4574674200965283"</f>
        <v>4574674200965283</v>
      </c>
      <c r="F9180" t="str">
        <f>"984"</f>
        <v>984</v>
      </c>
      <c r="G9180">
        <v>1</v>
      </c>
      <c r="H9180">
        <v>2023</v>
      </c>
      <c r="I9180" t="s">
        <v>9295</v>
      </c>
    </row>
    <row r="9181" spans="1:9" x14ac:dyDescent="0.3">
      <c r="A9181" t="s">
        <v>10128</v>
      </c>
      <c r="B9181" t="s">
        <v>71</v>
      </c>
      <c r="C9181">
        <v>8989697390</v>
      </c>
      <c r="D9181" s="2">
        <v>1</v>
      </c>
      <c r="E9181" t="str">
        <f>"4574674200965317"</f>
        <v>4574674200965317</v>
      </c>
      <c r="F9181" t="str">
        <f>"562"</f>
        <v>562</v>
      </c>
      <c r="G9181">
        <v>1</v>
      </c>
      <c r="H9181">
        <v>2023</v>
      </c>
      <c r="I9181" t="s">
        <v>9296</v>
      </c>
    </row>
    <row r="9182" spans="1:9" x14ac:dyDescent="0.3">
      <c r="A9182" t="s">
        <v>10128</v>
      </c>
      <c r="B9182" t="s">
        <v>71</v>
      </c>
      <c r="C9182">
        <v>8989697390</v>
      </c>
      <c r="D9182" s="2">
        <v>1</v>
      </c>
      <c r="E9182" t="str">
        <f>"4574674200965341"</f>
        <v>4574674200965341</v>
      </c>
      <c r="F9182" t="str">
        <f>"509"</f>
        <v>509</v>
      </c>
      <c r="G9182">
        <v>1</v>
      </c>
      <c r="H9182">
        <v>2023</v>
      </c>
      <c r="I9182" t="s">
        <v>9297</v>
      </c>
    </row>
    <row r="9183" spans="1:9" x14ac:dyDescent="0.3">
      <c r="A9183" t="s">
        <v>10128</v>
      </c>
      <c r="B9183" t="s">
        <v>71</v>
      </c>
      <c r="C9183">
        <v>8989697390</v>
      </c>
      <c r="D9183" s="2">
        <v>1</v>
      </c>
      <c r="E9183" t="str">
        <f>"4574674200965358"</f>
        <v>4574674200965358</v>
      </c>
      <c r="F9183" t="str">
        <f>"650"</f>
        <v>650</v>
      </c>
      <c r="G9183">
        <v>1</v>
      </c>
      <c r="H9183">
        <v>2023</v>
      </c>
      <c r="I9183" t="s">
        <v>9298</v>
      </c>
    </row>
    <row r="9184" spans="1:9" x14ac:dyDescent="0.3">
      <c r="A9184" t="s">
        <v>10128</v>
      </c>
      <c r="B9184" t="s">
        <v>71</v>
      </c>
      <c r="C9184">
        <v>8989697390</v>
      </c>
      <c r="D9184" s="2">
        <v>1</v>
      </c>
      <c r="E9184" t="str">
        <f>"4574674200965374"</f>
        <v>4574674200965374</v>
      </c>
      <c r="F9184" t="str">
        <f>"053"</f>
        <v>053</v>
      </c>
      <c r="G9184">
        <v>1</v>
      </c>
      <c r="H9184">
        <v>2023</v>
      </c>
      <c r="I9184" t="s">
        <v>9299</v>
      </c>
    </row>
    <row r="9185" spans="1:9" x14ac:dyDescent="0.3">
      <c r="A9185" t="s">
        <v>10128</v>
      </c>
      <c r="B9185" t="s">
        <v>71</v>
      </c>
      <c r="C9185">
        <v>8989697390</v>
      </c>
      <c r="D9185" s="2">
        <v>1</v>
      </c>
      <c r="E9185" t="str">
        <f>"4574674200964310"</f>
        <v>4574674200964310</v>
      </c>
      <c r="F9185" t="str">
        <f>"379"</f>
        <v>379</v>
      </c>
      <c r="G9185">
        <v>1</v>
      </c>
      <c r="H9185">
        <v>2023</v>
      </c>
      <c r="I9185" t="s">
        <v>9300</v>
      </c>
    </row>
    <row r="9186" spans="1:9" x14ac:dyDescent="0.3">
      <c r="A9186" t="s">
        <v>10129</v>
      </c>
      <c r="B9186" t="s">
        <v>72</v>
      </c>
      <c r="C9186">
        <v>8989697390</v>
      </c>
      <c r="D9186" s="2">
        <v>1</v>
      </c>
      <c r="E9186" t="str">
        <f>"4574674200965440"</f>
        <v>4574674200965440</v>
      </c>
      <c r="F9186" t="str">
        <f>"056"</f>
        <v>056</v>
      </c>
      <c r="G9186">
        <v>1</v>
      </c>
      <c r="H9186">
        <v>2023</v>
      </c>
      <c r="I9186" t="s">
        <v>9301</v>
      </c>
    </row>
    <row r="9187" spans="1:9" x14ac:dyDescent="0.3">
      <c r="A9187" t="s">
        <v>10129</v>
      </c>
      <c r="B9187" t="s">
        <v>72</v>
      </c>
      <c r="C9187">
        <v>8989697390</v>
      </c>
      <c r="D9187" s="2">
        <v>1</v>
      </c>
      <c r="E9187" t="str">
        <f>"4574674200965473"</f>
        <v>4574674200965473</v>
      </c>
      <c r="F9187" t="str">
        <f>"895"</f>
        <v>895</v>
      </c>
      <c r="G9187">
        <v>1</v>
      </c>
      <c r="H9187">
        <v>2023</v>
      </c>
      <c r="I9187" t="s">
        <v>9302</v>
      </c>
    </row>
    <row r="9188" spans="1:9" x14ac:dyDescent="0.3">
      <c r="A9188" t="s">
        <v>10129</v>
      </c>
      <c r="B9188" t="s">
        <v>72</v>
      </c>
      <c r="C9188">
        <v>8989697390</v>
      </c>
      <c r="D9188" s="2">
        <v>1</v>
      </c>
      <c r="E9188" t="str">
        <f>"4574674200965507"</f>
        <v>4574674200965507</v>
      </c>
      <c r="F9188" t="str">
        <f>"575"</f>
        <v>575</v>
      </c>
      <c r="G9188">
        <v>1</v>
      </c>
      <c r="H9188">
        <v>2023</v>
      </c>
      <c r="I9188" t="s">
        <v>9303</v>
      </c>
    </row>
    <row r="9189" spans="1:9" x14ac:dyDescent="0.3">
      <c r="A9189" t="s">
        <v>10129</v>
      </c>
      <c r="B9189" t="s">
        <v>72</v>
      </c>
      <c r="C9189">
        <v>8989697390</v>
      </c>
      <c r="D9189" s="2">
        <v>1</v>
      </c>
      <c r="E9189" t="str">
        <f>"4574674200965515"</f>
        <v>4574674200965515</v>
      </c>
      <c r="F9189" t="str">
        <f>"200"</f>
        <v>200</v>
      </c>
      <c r="G9189">
        <v>1</v>
      </c>
      <c r="H9189">
        <v>2023</v>
      </c>
      <c r="I9189" t="s">
        <v>9304</v>
      </c>
    </row>
    <row r="9190" spans="1:9" x14ac:dyDescent="0.3">
      <c r="A9190" t="s">
        <v>10129</v>
      </c>
      <c r="B9190" t="s">
        <v>72</v>
      </c>
      <c r="C9190">
        <v>8989697390</v>
      </c>
      <c r="D9190" s="2">
        <v>1</v>
      </c>
      <c r="E9190" t="str">
        <f>"4574674200965549"</f>
        <v>4574674200965549</v>
      </c>
      <c r="F9190" t="str">
        <f>"716"</f>
        <v>716</v>
      </c>
      <c r="G9190">
        <v>1</v>
      </c>
      <c r="H9190">
        <v>2023</v>
      </c>
      <c r="I9190" t="s">
        <v>9305</v>
      </c>
    </row>
    <row r="9191" spans="1:9" x14ac:dyDescent="0.3">
      <c r="A9191" t="s">
        <v>10129</v>
      </c>
      <c r="B9191" t="s">
        <v>72</v>
      </c>
      <c r="C9191">
        <v>8989697390</v>
      </c>
      <c r="D9191" s="2">
        <v>1</v>
      </c>
      <c r="E9191" t="str">
        <f>"4574674200965622"</f>
        <v>4574674200965622</v>
      </c>
      <c r="F9191" t="str">
        <f>"386"</f>
        <v>386</v>
      </c>
      <c r="G9191">
        <v>1</v>
      </c>
      <c r="H9191">
        <v>2023</v>
      </c>
      <c r="I9191" t="s">
        <v>9306</v>
      </c>
    </row>
    <row r="9192" spans="1:9" x14ac:dyDescent="0.3">
      <c r="A9192" t="s">
        <v>10129</v>
      </c>
      <c r="B9192" t="s">
        <v>72</v>
      </c>
      <c r="C9192">
        <v>8989697390</v>
      </c>
      <c r="D9192" s="2">
        <v>1</v>
      </c>
      <c r="E9192" t="str">
        <f>"4574674200965655"</f>
        <v>4574674200965655</v>
      </c>
      <c r="F9192" t="str">
        <f>"060"</f>
        <v>060</v>
      </c>
      <c r="G9192">
        <v>1</v>
      </c>
      <c r="H9192">
        <v>2023</v>
      </c>
      <c r="I9192" t="s">
        <v>9307</v>
      </c>
    </row>
    <row r="9193" spans="1:9" x14ac:dyDescent="0.3">
      <c r="A9193" t="s">
        <v>10129</v>
      </c>
      <c r="B9193" t="s">
        <v>72</v>
      </c>
      <c r="C9193">
        <v>8989697390</v>
      </c>
      <c r="D9193" s="2">
        <v>1</v>
      </c>
      <c r="E9193" t="str">
        <f>"4574674200965648"</f>
        <v>4574674200965648</v>
      </c>
      <c r="F9193" t="str">
        <f>"963"</f>
        <v>963</v>
      </c>
      <c r="G9193">
        <v>1</v>
      </c>
      <c r="H9193">
        <v>2023</v>
      </c>
      <c r="I9193" t="s">
        <v>9308</v>
      </c>
    </row>
    <row r="9194" spans="1:9" x14ac:dyDescent="0.3">
      <c r="A9194" t="s">
        <v>10129</v>
      </c>
      <c r="B9194" t="s">
        <v>72</v>
      </c>
      <c r="C9194">
        <v>8989697390</v>
      </c>
      <c r="D9194" s="2">
        <v>1</v>
      </c>
      <c r="E9194" t="str">
        <f>"4574674200965689"</f>
        <v>4574674200965689</v>
      </c>
      <c r="F9194" t="str">
        <f>"009"</f>
        <v>009</v>
      </c>
      <c r="G9194">
        <v>1</v>
      </c>
      <c r="H9194">
        <v>2023</v>
      </c>
      <c r="I9194" t="s">
        <v>9309</v>
      </c>
    </row>
    <row r="9195" spans="1:9" x14ac:dyDescent="0.3">
      <c r="A9195" t="s">
        <v>10129</v>
      </c>
      <c r="B9195" t="s">
        <v>72</v>
      </c>
      <c r="C9195">
        <v>8989697390</v>
      </c>
      <c r="D9195" s="2">
        <v>1</v>
      </c>
      <c r="E9195" t="str">
        <f>"4574674200964336"</f>
        <v>4574674200964336</v>
      </c>
      <c r="F9195" t="str">
        <f>"210"</f>
        <v>210</v>
      </c>
      <c r="G9195">
        <v>1</v>
      </c>
      <c r="H9195">
        <v>2023</v>
      </c>
      <c r="I9195" t="s">
        <v>9310</v>
      </c>
    </row>
    <row r="9196" spans="1:9" x14ac:dyDescent="0.3">
      <c r="A9196" t="s">
        <v>10170</v>
      </c>
      <c r="B9196" t="s">
        <v>73</v>
      </c>
      <c r="C9196">
        <v>8989697390</v>
      </c>
      <c r="D9196" s="2">
        <v>1</v>
      </c>
      <c r="E9196" t="str">
        <f>"4574674200965739"</f>
        <v>4574674200965739</v>
      </c>
      <c r="F9196" t="str">
        <f>"386"</f>
        <v>386</v>
      </c>
      <c r="G9196">
        <v>1</v>
      </c>
      <c r="H9196">
        <v>2023</v>
      </c>
      <c r="I9196" t="s">
        <v>9311</v>
      </c>
    </row>
    <row r="9197" spans="1:9" x14ac:dyDescent="0.3">
      <c r="A9197" t="s">
        <v>10170</v>
      </c>
      <c r="B9197" t="s">
        <v>73</v>
      </c>
      <c r="C9197">
        <v>8989697390</v>
      </c>
      <c r="D9197" s="2">
        <v>1</v>
      </c>
      <c r="E9197" t="str">
        <f>"4574674200964351"</f>
        <v>4574674200964351</v>
      </c>
      <c r="F9197" t="str">
        <f>"947"</f>
        <v>947</v>
      </c>
      <c r="G9197">
        <v>1</v>
      </c>
      <c r="H9197">
        <v>2023</v>
      </c>
      <c r="I9197" t="s">
        <v>9312</v>
      </c>
    </row>
    <row r="9198" spans="1:9" x14ac:dyDescent="0.3">
      <c r="A9198" t="s">
        <v>10170</v>
      </c>
      <c r="B9198" t="s">
        <v>73</v>
      </c>
      <c r="C9198">
        <v>8989697390</v>
      </c>
      <c r="D9198" s="2">
        <v>1</v>
      </c>
      <c r="E9198" t="str">
        <f>"4574674200965762"</f>
        <v>4574674200965762</v>
      </c>
      <c r="F9198" t="str">
        <f>"087"</f>
        <v>087</v>
      </c>
      <c r="G9198">
        <v>1</v>
      </c>
      <c r="H9198">
        <v>2023</v>
      </c>
      <c r="I9198" t="s">
        <v>9313</v>
      </c>
    </row>
    <row r="9199" spans="1:9" x14ac:dyDescent="0.3">
      <c r="A9199" t="s">
        <v>10170</v>
      </c>
      <c r="B9199" t="s">
        <v>73</v>
      </c>
      <c r="C9199">
        <v>8989697390</v>
      </c>
      <c r="D9199" s="2">
        <v>1</v>
      </c>
      <c r="E9199" t="str">
        <f>"4574674200965812"</f>
        <v>4574674200965812</v>
      </c>
      <c r="F9199" t="str">
        <f>"355"</f>
        <v>355</v>
      </c>
      <c r="G9199">
        <v>1</v>
      </c>
      <c r="H9199">
        <v>2023</v>
      </c>
      <c r="I9199" t="s">
        <v>9314</v>
      </c>
    </row>
    <row r="9200" spans="1:9" x14ac:dyDescent="0.3">
      <c r="A9200" t="s">
        <v>10170</v>
      </c>
      <c r="B9200" t="s">
        <v>73</v>
      </c>
      <c r="C9200">
        <v>8989697390</v>
      </c>
      <c r="D9200" s="2">
        <v>1</v>
      </c>
      <c r="E9200" t="str">
        <f>"4574674200965838"</f>
        <v>4574674200965838</v>
      </c>
      <c r="F9200" t="str">
        <f>"534"</f>
        <v>534</v>
      </c>
      <c r="G9200">
        <v>1</v>
      </c>
      <c r="H9200">
        <v>2023</v>
      </c>
      <c r="I9200" t="s">
        <v>9315</v>
      </c>
    </row>
    <row r="9201" spans="1:9" x14ac:dyDescent="0.3">
      <c r="A9201" t="s">
        <v>10170</v>
      </c>
      <c r="B9201" t="s">
        <v>73</v>
      </c>
      <c r="C9201">
        <v>8989697390</v>
      </c>
      <c r="D9201" s="2">
        <v>1</v>
      </c>
      <c r="E9201" t="str">
        <f>"4574674200965846"</f>
        <v>4574674200965846</v>
      </c>
      <c r="F9201" t="str">
        <f>"330"</f>
        <v>330</v>
      </c>
      <c r="G9201">
        <v>1</v>
      </c>
      <c r="H9201">
        <v>2023</v>
      </c>
      <c r="I9201" t="s">
        <v>9316</v>
      </c>
    </row>
    <row r="9202" spans="1:9" x14ac:dyDescent="0.3">
      <c r="A9202" t="s">
        <v>10170</v>
      </c>
      <c r="B9202" t="s">
        <v>73</v>
      </c>
      <c r="C9202">
        <v>8989697390</v>
      </c>
      <c r="D9202" s="2">
        <v>1</v>
      </c>
      <c r="E9202" t="str">
        <f>"4574674200965895"</f>
        <v>4574674200965895</v>
      </c>
      <c r="F9202" t="str">
        <f>"530"</f>
        <v>530</v>
      </c>
      <c r="G9202">
        <v>1</v>
      </c>
      <c r="H9202">
        <v>2023</v>
      </c>
      <c r="I9202" t="s">
        <v>9317</v>
      </c>
    </row>
    <row r="9203" spans="1:9" x14ac:dyDescent="0.3">
      <c r="A9203" t="s">
        <v>10170</v>
      </c>
      <c r="B9203" t="s">
        <v>73</v>
      </c>
      <c r="C9203">
        <v>8989697390</v>
      </c>
      <c r="D9203" s="2">
        <v>1</v>
      </c>
      <c r="E9203" t="str">
        <f>"4574674200965960"</f>
        <v>4574674200965960</v>
      </c>
      <c r="F9203" t="str">
        <f>"498"</f>
        <v>498</v>
      </c>
      <c r="G9203">
        <v>1</v>
      </c>
      <c r="H9203">
        <v>2023</v>
      </c>
      <c r="I9203" t="s">
        <v>9318</v>
      </c>
    </row>
    <row r="9204" spans="1:9" x14ac:dyDescent="0.3">
      <c r="A9204" t="s">
        <v>10170</v>
      </c>
      <c r="B9204" t="s">
        <v>73</v>
      </c>
      <c r="C9204">
        <v>8989697390</v>
      </c>
      <c r="D9204" s="2">
        <v>1</v>
      </c>
      <c r="E9204" t="str">
        <f>"4574674200965986"</f>
        <v>4574674200965986</v>
      </c>
      <c r="F9204" t="str">
        <f>"663"</f>
        <v>663</v>
      </c>
      <c r="G9204">
        <v>1</v>
      </c>
      <c r="H9204">
        <v>2023</v>
      </c>
      <c r="I9204" t="s">
        <v>9319</v>
      </c>
    </row>
    <row r="9205" spans="1:9" x14ac:dyDescent="0.3">
      <c r="A9205" t="s">
        <v>10170</v>
      </c>
      <c r="B9205" t="s">
        <v>73</v>
      </c>
      <c r="C9205">
        <v>8989697390</v>
      </c>
      <c r="D9205" s="2">
        <v>1</v>
      </c>
      <c r="E9205" t="str">
        <f>"4574674200966018"</f>
        <v>4574674200966018</v>
      </c>
      <c r="F9205" t="str">
        <f>"537"</f>
        <v>537</v>
      </c>
      <c r="G9205">
        <v>1</v>
      </c>
      <c r="H9205">
        <v>2023</v>
      </c>
      <c r="I9205" t="s">
        <v>9320</v>
      </c>
    </row>
    <row r="9206" spans="1:9" x14ac:dyDescent="0.3">
      <c r="A9206" t="s">
        <v>10171</v>
      </c>
      <c r="B9206" t="s">
        <v>74</v>
      </c>
      <c r="C9206">
        <v>8989697390</v>
      </c>
      <c r="D9206" s="2">
        <v>1</v>
      </c>
      <c r="E9206" t="str">
        <f>"4574674200966026"</f>
        <v>4574674200966026</v>
      </c>
      <c r="F9206" t="str">
        <f>"100"</f>
        <v>100</v>
      </c>
      <c r="G9206">
        <v>1</v>
      </c>
      <c r="H9206">
        <v>2023</v>
      </c>
      <c r="I9206" t="s">
        <v>9321</v>
      </c>
    </row>
    <row r="9207" spans="1:9" x14ac:dyDescent="0.3">
      <c r="A9207" t="s">
        <v>10171</v>
      </c>
      <c r="B9207" t="s">
        <v>74</v>
      </c>
      <c r="C9207">
        <v>8989697390</v>
      </c>
      <c r="D9207" s="2">
        <v>1</v>
      </c>
      <c r="E9207" t="str">
        <f>"4574674200966067"</f>
        <v>4574674200966067</v>
      </c>
      <c r="F9207" t="str">
        <f>"463"</f>
        <v>463</v>
      </c>
      <c r="G9207">
        <v>1</v>
      </c>
      <c r="H9207">
        <v>2023</v>
      </c>
      <c r="I9207" t="s">
        <v>9322</v>
      </c>
    </row>
    <row r="9208" spans="1:9" x14ac:dyDescent="0.3">
      <c r="A9208" t="s">
        <v>10171</v>
      </c>
      <c r="B9208" t="s">
        <v>74</v>
      </c>
      <c r="C9208">
        <v>8989697390</v>
      </c>
      <c r="D9208" s="2">
        <v>1</v>
      </c>
      <c r="E9208" t="str">
        <f>"4574674200966117"</f>
        <v>4574674200966117</v>
      </c>
      <c r="F9208" t="str">
        <f>"753"</f>
        <v>753</v>
      </c>
      <c r="G9208">
        <v>1</v>
      </c>
      <c r="H9208">
        <v>2023</v>
      </c>
      <c r="I9208" t="s">
        <v>9323</v>
      </c>
    </row>
    <row r="9209" spans="1:9" x14ac:dyDescent="0.3">
      <c r="A9209" t="s">
        <v>10171</v>
      </c>
      <c r="B9209" t="s">
        <v>74</v>
      </c>
      <c r="C9209">
        <v>8989697390</v>
      </c>
      <c r="D9209" s="2">
        <v>1</v>
      </c>
      <c r="E9209" t="str">
        <f>"4574674200966158"</f>
        <v>4574674200966158</v>
      </c>
      <c r="F9209" t="str">
        <f>"192"</f>
        <v>192</v>
      </c>
      <c r="G9209">
        <v>1</v>
      </c>
      <c r="H9209">
        <v>2023</v>
      </c>
      <c r="I9209" t="s">
        <v>9324</v>
      </c>
    </row>
    <row r="9210" spans="1:9" x14ac:dyDescent="0.3">
      <c r="A9210" t="s">
        <v>10171</v>
      </c>
      <c r="B9210" t="s">
        <v>74</v>
      </c>
      <c r="C9210">
        <v>8989697390</v>
      </c>
      <c r="D9210" s="2">
        <v>1</v>
      </c>
      <c r="E9210" t="str">
        <f>"4574674200966182"</f>
        <v>4574674200966182</v>
      </c>
      <c r="F9210" t="str">
        <f>"969"</f>
        <v>969</v>
      </c>
      <c r="G9210">
        <v>1</v>
      </c>
      <c r="H9210">
        <v>2023</v>
      </c>
      <c r="I9210" t="s">
        <v>9325</v>
      </c>
    </row>
    <row r="9211" spans="1:9" x14ac:dyDescent="0.3">
      <c r="A9211" t="s">
        <v>10171</v>
      </c>
      <c r="B9211" t="s">
        <v>74</v>
      </c>
      <c r="C9211">
        <v>8989697390</v>
      </c>
      <c r="D9211" s="2">
        <v>1</v>
      </c>
      <c r="E9211" t="str">
        <f>"4574674200966406"</f>
        <v>4574674200966406</v>
      </c>
      <c r="F9211" t="str">
        <f>"768"</f>
        <v>768</v>
      </c>
      <c r="G9211">
        <v>1</v>
      </c>
      <c r="H9211">
        <v>2023</v>
      </c>
      <c r="I9211" t="s">
        <v>9326</v>
      </c>
    </row>
    <row r="9212" spans="1:9" x14ac:dyDescent="0.3">
      <c r="A9212" t="s">
        <v>10171</v>
      </c>
      <c r="B9212" t="s">
        <v>74</v>
      </c>
      <c r="C9212">
        <v>8989697390</v>
      </c>
      <c r="D9212" s="2">
        <v>1</v>
      </c>
      <c r="E9212" t="str">
        <f>"4574674200966513"</f>
        <v>4574674200966513</v>
      </c>
      <c r="F9212" t="str">
        <f>"810"</f>
        <v>810</v>
      </c>
      <c r="G9212">
        <v>1</v>
      </c>
      <c r="H9212">
        <v>2023</v>
      </c>
      <c r="I9212" t="s">
        <v>9327</v>
      </c>
    </row>
    <row r="9213" spans="1:9" x14ac:dyDescent="0.3">
      <c r="A9213" t="s">
        <v>10171</v>
      </c>
      <c r="B9213" t="s">
        <v>74</v>
      </c>
      <c r="C9213">
        <v>8989697390</v>
      </c>
      <c r="D9213" s="2">
        <v>1</v>
      </c>
      <c r="E9213" t="str">
        <f>"4574674200966661"</f>
        <v>4574674200966661</v>
      </c>
      <c r="F9213" t="str">
        <f>"088"</f>
        <v>088</v>
      </c>
      <c r="G9213">
        <v>1</v>
      </c>
      <c r="H9213">
        <v>2023</v>
      </c>
      <c r="I9213" t="s">
        <v>9328</v>
      </c>
    </row>
    <row r="9214" spans="1:9" x14ac:dyDescent="0.3">
      <c r="A9214" t="s">
        <v>10171</v>
      </c>
      <c r="B9214" t="s">
        <v>74</v>
      </c>
      <c r="C9214">
        <v>8989697390</v>
      </c>
      <c r="D9214" s="2">
        <v>1</v>
      </c>
      <c r="E9214" t="str">
        <f>"4574674200968253"</f>
        <v>4574674200968253</v>
      </c>
      <c r="F9214" t="str">
        <f>"800"</f>
        <v>800</v>
      </c>
      <c r="G9214">
        <v>1</v>
      </c>
      <c r="H9214">
        <v>2023</v>
      </c>
      <c r="I9214" t="s">
        <v>9329</v>
      </c>
    </row>
    <row r="9215" spans="1:9" x14ac:dyDescent="0.3">
      <c r="A9215" t="s">
        <v>10171</v>
      </c>
      <c r="B9215" t="s">
        <v>74</v>
      </c>
      <c r="C9215">
        <v>8989697390</v>
      </c>
      <c r="D9215" s="2">
        <v>1</v>
      </c>
      <c r="E9215" t="str">
        <f>"4574674200969020"</f>
        <v>4574674200969020</v>
      </c>
      <c r="F9215" t="str">
        <f>"312"</f>
        <v>312</v>
      </c>
      <c r="G9215">
        <v>1</v>
      </c>
      <c r="H9215">
        <v>2023</v>
      </c>
      <c r="I9215" t="s">
        <v>9330</v>
      </c>
    </row>
    <row r="9216" spans="1:9" x14ac:dyDescent="0.3">
      <c r="A9216" t="s">
        <v>10136</v>
      </c>
      <c r="B9216" t="s">
        <v>81</v>
      </c>
      <c r="C9216">
        <v>9406582649</v>
      </c>
      <c r="D9216" s="2">
        <v>1</v>
      </c>
      <c r="E9216" t="str">
        <f>"4574674200969046"</f>
        <v>4574674200969046</v>
      </c>
      <c r="F9216" t="str">
        <f>"541"</f>
        <v>541</v>
      </c>
      <c r="G9216">
        <v>1</v>
      </c>
      <c r="H9216">
        <v>2023</v>
      </c>
      <c r="I9216" t="s">
        <v>9331</v>
      </c>
    </row>
    <row r="9217" spans="1:9" x14ac:dyDescent="0.3">
      <c r="A9217" t="s">
        <v>10136</v>
      </c>
      <c r="B9217" t="s">
        <v>81</v>
      </c>
      <c r="C9217">
        <v>9406582649</v>
      </c>
      <c r="D9217" s="2">
        <v>1</v>
      </c>
      <c r="E9217" t="str">
        <f>"4574674200969111"</f>
        <v>4574674200969111</v>
      </c>
      <c r="F9217" t="str">
        <f>"430"</f>
        <v>430</v>
      </c>
      <c r="G9217">
        <v>1</v>
      </c>
      <c r="H9217">
        <v>2023</v>
      </c>
      <c r="I9217" t="s">
        <v>9332</v>
      </c>
    </row>
    <row r="9218" spans="1:9" x14ac:dyDescent="0.3">
      <c r="A9218" t="s">
        <v>10136</v>
      </c>
      <c r="B9218" t="s">
        <v>81</v>
      </c>
      <c r="C9218">
        <v>9406582649</v>
      </c>
      <c r="D9218" s="2">
        <v>1</v>
      </c>
      <c r="E9218" t="str">
        <f>"4574674200968311"</f>
        <v>4574674200968311</v>
      </c>
      <c r="F9218" t="str">
        <f>"543"</f>
        <v>543</v>
      </c>
      <c r="G9218">
        <v>1</v>
      </c>
      <c r="H9218">
        <v>2023</v>
      </c>
      <c r="I9218" t="s">
        <v>9333</v>
      </c>
    </row>
    <row r="9219" spans="1:9" x14ac:dyDescent="0.3">
      <c r="A9219" t="s">
        <v>10136</v>
      </c>
      <c r="B9219" t="s">
        <v>81</v>
      </c>
      <c r="C9219">
        <v>9406582649</v>
      </c>
      <c r="D9219" s="2">
        <v>1</v>
      </c>
      <c r="E9219" t="str">
        <f>"4574674200969202"</f>
        <v>4574674200969202</v>
      </c>
      <c r="F9219" t="str">
        <f>"941"</f>
        <v>941</v>
      </c>
      <c r="G9219">
        <v>1</v>
      </c>
      <c r="H9219">
        <v>2023</v>
      </c>
      <c r="I9219" t="s">
        <v>9334</v>
      </c>
    </row>
    <row r="9220" spans="1:9" x14ac:dyDescent="0.3">
      <c r="A9220" t="s">
        <v>10136</v>
      </c>
      <c r="B9220" t="s">
        <v>81</v>
      </c>
      <c r="C9220">
        <v>9406582649</v>
      </c>
      <c r="D9220" s="2">
        <v>1</v>
      </c>
      <c r="E9220" t="str">
        <f>"4574674200969251"</f>
        <v>4574674200969251</v>
      </c>
      <c r="F9220" t="str">
        <f>"733"</f>
        <v>733</v>
      </c>
      <c r="G9220">
        <v>1</v>
      </c>
      <c r="H9220">
        <v>2023</v>
      </c>
      <c r="I9220" t="s">
        <v>9335</v>
      </c>
    </row>
    <row r="9221" spans="1:9" x14ac:dyDescent="0.3">
      <c r="A9221" t="s">
        <v>10136</v>
      </c>
      <c r="B9221" t="s">
        <v>81</v>
      </c>
      <c r="C9221">
        <v>9406582649</v>
      </c>
      <c r="D9221" s="2">
        <v>1</v>
      </c>
      <c r="E9221" t="str">
        <f>"4574674200969293"</f>
        <v>4574674200969293</v>
      </c>
      <c r="F9221" t="str">
        <f>"627"</f>
        <v>627</v>
      </c>
      <c r="G9221">
        <v>1</v>
      </c>
      <c r="H9221">
        <v>2023</v>
      </c>
      <c r="I9221" t="s">
        <v>9336</v>
      </c>
    </row>
    <row r="9222" spans="1:9" x14ac:dyDescent="0.3">
      <c r="A9222" t="s">
        <v>10136</v>
      </c>
      <c r="B9222" t="s">
        <v>81</v>
      </c>
      <c r="C9222">
        <v>9406582649</v>
      </c>
      <c r="D9222" s="2">
        <v>1</v>
      </c>
      <c r="E9222" t="str">
        <f>"4574674200969368"</f>
        <v>4574674200969368</v>
      </c>
      <c r="F9222" t="str">
        <f>"944"</f>
        <v>944</v>
      </c>
      <c r="G9222">
        <v>1</v>
      </c>
      <c r="H9222">
        <v>2023</v>
      </c>
      <c r="I9222" t="s">
        <v>9337</v>
      </c>
    </row>
    <row r="9223" spans="1:9" x14ac:dyDescent="0.3">
      <c r="A9223" t="s">
        <v>10136</v>
      </c>
      <c r="B9223" t="s">
        <v>81</v>
      </c>
      <c r="C9223">
        <v>9406582649</v>
      </c>
      <c r="D9223" s="2">
        <v>1</v>
      </c>
      <c r="E9223" t="str">
        <f>"4574674200969400"</f>
        <v>4574674200969400</v>
      </c>
      <c r="F9223" t="str">
        <f>"986"</f>
        <v>986</v>
      </c>
      <c r="G9223">
        <v>1</v>
      </c>
      <c r="H9223">
        <v>2023</v>
      </c>
      <c r="I9223" t="s">
        <v>9338</v>
      </c>
    </row>
    <row r="9224" spans="1:9" x14ac:dyDescent="0.3">
      <c r="A9224" t="s">
        <v>10136</v>
      </c>
      <c r="B9224" t="s">
        <v>81</v>
      </c>
      <c r="C9224">
        <v>9406582649</v>
      </c>
      <c r="D9224" s="2">
        <v>1</v>
      </c>
      <c r="E9224" t="str">
        <f>"4574674200969442"</f>
        <v>4574674200969442</v>
      </c>
      <c r="F9224" t="str">
        <f>"548"</f>
        <v>548</v>
      </c>
      <c r="G9224">
        <v>1</v>
      </c>
      <c r="H9224">
        <v>2023</v>
      </c>
      <c r="I9224" t="s">
        <v>9339</v>
      </c>
    </row>
    <row r="9225" spans="1:9" x14ac:dyDescent="0.3">
      <c r="A9225" t="s">
        <v>10136</v>
      </c>
      <c r="B9225" t="s">
        <v>81</v>
      </c>
      <c r="C9225">
        <v>9406582649</v>
      </c>
      <c r="D9225" s="2">
        <v>1</v>
      </c>
      <c r="E9225" t="str">
        <f>"4574674200969459"</f>
        <v>4574674200969459</v>
      </c>
      <c r="F9225" t="str">
        <f>"716"</f>
        <v>716</v>
      </c>
      <c r="G9225">
        <v>1</v>
      </c>
      <c r="H9225">
        <v>2023</v>
      </c>
      <c r="I9225" t="s">
        <v>9340</v>
      </c>
    </row>
    <row r="9226" spans="1:9" x14ac:dyDescent="0.3">
      <c r="A9226" t="s">
        <v>10137</v>
      </c>
      <c r="B9226" t="s">
        <v>82</v>
      </c>
      <c r="C9226">
        <v>9406582649</v>
      </c>
      <c r="D9226" s="2">
        <v>1</v>
      </c>
      <c r="E9226" t="str">
        <f>"4574674200969491"</f>
        <v>4574674200969491</v>
      </c>
      <c r="F9226" t="str">
        <f>"327"</f>
        <v>327</v>
      </c>
      <c r="G9226">
        <v>1</v>
      </c>
      <c r="H9226">
        <v>2023</v>
      </c>
      <c r="I9226" t="s">
        <v>9341</v>
      </c>
    </row>
    <row r="9227" spans="1:9" x14ac:dyDescent="0.3">
      <c r="A9227" t="s">
        <v>10137</v>
      </c>
      <c r="B9227" t="s">
        <v>82</v>
      </c>
      <c r="C9227">
        <v>9406582649</v>
      </c>
      <c r="D9227" s="2">
        <v>1</v>
      </c>
      <c r="E9227" t="str">
        <f>"4574674200969509"</f>
        <v>4574674200969509</v>
      </c>
      <c r="F9227" t="str">
        <f>"583"</f>
        <v>583</v>
      </c>
      <c r="G9227">
        <v>1</v>
      </c>
      <c r="H9227">
        <v>2023</v>
      </c>
      <c r="I9227" t="s">
        <v>9342</v>
      </c>
    </row>
    <row r="9228" spans="1:9" x14ac:dyDescent="0.3">
      <c r="A9228" t="s">
        <v>10137</v>
      </c>
      <c r="B9228" t="s">
        <v>82</v>
      </c>
      <c r="C9228">
        <v>9406582649</v>
      </c>
      <c r="D9228" s="2">
        <v>1</v>
      </c>
      <c r="E9228" t="str">
        <f>"4574674200969533"</f>
        <v>4574674200969533</v>
      </c>
      <c r="F9228" t="str">
        <f>"906"</f>
        <v>906</v>
      </c>
      <c r="G9228">
        <v>1</v>
      </c>
      <c r="H9228">
        <v>2023</v>
      </c>
      <c r="I9228" t="s">
        <v>9343</v>
      </c>
    </row>
    <row r="9229" spans="1:9" x14ac:dyDescent="0.3">
      <c r="A9229" t="s">
        <v>10137</v>
      </c>
      <c r="B9229" t="s">
        <v>82</v>
      </c>
      <c r="C9229">
        <v>9406582649</v>
      </c>
      <c r="D9229" s="2">
        <v>1</v>
      </c>
      <c r="E9229" t="str">
        <f>"4574674200968345"</f>
        <v>4574674200968345</v>
      </c>
      <c r="F9229" t="str">
        <f>"872"</f>
        <v>872</v>
      </c>
      <c r="G9229">
        <v>1</v>
      </c>
      <c r="H9229">
        <v>2023</v>
      </c>
      <c r="I9229" t="s">
        <v>9344</v>
      </c>
    </row>
    <row r="9230" spans="1:9" x14ac:dyDescent="0.3">
      <c r="A9230" t="s">
        <v>10137</v>
      </c>
      <c r="B9230" t="s">
        <v>82</v>
      </c>
      <c r="C9230">
        <v>9406582649</v>
      </c>
      <c r="D9230" s="2">
        <v>1</v>
      </c>
      <c r="E9230" t="str">
        <f>"4574674200969590"</f>
        <v>4574674200969590</v>
      </c>
      <c r="F9230" t="str">
        <f>"206"</f>
        <v>206</v>
      </c>
      <c r="G9230">
        <v>1</v>
      </c>
      <c r="H9230">
        <v>2023</v>
      </c>
      <c r="I9230" t="s">
        <v>9345</v>
      </c>
    </row>
    <row r="9231" spans="1:9" x14ac:dyDescent="0.3">
      <c r="A9231" t="s">
        <v>10137</v>
      </c>
      <c r="B9231" t="s">
        <v>82</v>
      </c>
      <c r="C9231">
        <v>9406582649</v>
      </c>
      <c r="D9231" s="2">
        <v>1</v>
      </c>
      <c r="E9231" t="str">
        <f>"4574674200969616"</f>
        <v>4574674200969616</v>
      </c>
      <c r="F9231" t="str">
        <f>"994"</f>
        <v>994</v>
      </c>
      <c r="G9231">
        <v>1</v>
      </c>
      <c r="H9231">
        <v>2023</v>
      </c>
      <c r="I9231" t="s">
        <v>9346</v>
      </c>
    </row>
    <row r="9232" spans="1:9" x14ac:dyDescent="0.3">
      <c r="A9232" t="s">
        <v>10137</v>
      </c>
      <c r="B9232" t="s">
        <v>82</v>
      </c>
      <c r="C9232">
        <v>9406582649</v>
      </c>
      <c r="D9232" s="2">
        <v>1</v>
      </c>
      <c r="E9232" t="str">
        <f>"4574674200969632"</f>
        <v>4574674200969632</v>
      </c>
      <c r="F9232" t="str">
        <f>"507"</f>
        <v>507</v>
      </c>
      <c r="G9232">
        <v>1</v>
      </c>
      <c r="H9232">
        <v>2023</v>
      </c>
      <c r="I9232" t="s">
        <v>9347</v>
      </c>
    </row>
    <row r="9233" spans="1:9" x14ac:dyDescent="0.3">
      <c r="A9233" t="s">
        <v>10137</v>
      </c>
      <c r="B9233" t="s">
        <v>82</v>
      </c>
      <c r="C9233">
        <v>9406582649</v>
      </c>
      <c r="D9233" s="2">
        <v>1</v>
      </c>
      <c r="E9233" t="str">
        <f>"4574674200969657"</f>
        <v>4574674200969657</v>
      </c>
      <c r="F9233" t="str">
        <f>"095"</f>
        <v>095</v>
      </c>
      <c r="G9233">
        <v>1</v>
      </c>
      <c r="H9233">
        <v>2023</v>
      </c>
      <c r="I9233" t="s">
        <v>9348</v>
      </c>
    </row>
    <row r="9234" spans="1:9" x14ac:dyDescent="0.3">
      <c r="A9234" t="s">
        <v>10137</v>
      </c>
      <c r="B9234" t="s">
        <v>82</v>
      </c>
      <c r="C9234">
        <v>9406582649</v>
      </c>
      <c r="D9234" s="2">
        <v>1</v>
      </c>
      <c r="E9234" t="str">
        <f>"4574674200969673"</f>
        <v>4574674200969673</v>
      </c>
      <c r="F9234" t="str">
        <f>"427"</f>
        <v>427</v>
      </c>
      <c r="G9234">
        <v>1</v>
      </c>
      <c r="H9234">
        <v>2023</v>
      </c>
      <c r="I9234" t="s">
        <v>9349</v>
      </c>
    </row>
    <row r="9235" spans="1:9" x14ac:dyDescent="0.3">
      <c r="A9235" t="s">
        <v>10137</v>
      </c>
      <c r="B9235" t="s">
        <v>82</v>
      </c>
      <c r="C9235">
        <v>9406582649</v>
      </c>
      <c r="D9235" s="2">
        <v>1</v>
      </c>
      <c r="E9235" t="str">
        <f>"4574674200969707"</f>
        <v>4574674200969707</v>
      </c>
      <c r="F9235" t="str">
        <f>"860"</f>
        <v>860</v>
      </c>
      <c r="G9235">
        <v>1</v>
      </c>
      <c r="H9235">
        <v>2023</v>
      </c>
      <c r="I9235" t="s">
        <v>9350</v>
      </c>
    </row>
    <row r="9236" spans="1:9" x14ac:dyDescent="0.3">
      <c r="A9236" t="s">
        <v>10138</v>
      </c>
      <c r="B9236" t="s">
        <v>83</v>
      </c>
      <c r="C9236">
        <v>9406582649</v>
      </c>
      <c r="D9236" s="2">
        <v>1</v>
      </c>
      <c r="E9236" t="str">
        <f>"4574674200969780"</f>
        <v>4574674200969780</v>
      </c>
      <c r="F9236" t="str">
        <f>"391"</f>
        <v>391</v>
      </c>
      <c r="G9236">
        <v>1</v>
      </c>
      <c r="H9236">
        <v>2023</v>
      </c>
      <c r="I9236" t="s">
        <v>9351</v>
      </c>
    </row>
    <row r="9237" spans="1:9" x14ac:dyDescent="0.3">
      <c r="A9237" t="s">
        <v>10138</v>
      </c>
      <c r="B9237" t="s">
        <v>83</v>
      </c>
      <c r="C9237">
        <v>9406582649</v>
      </c>
      <c r="D9237" s="2">
        <v>1</v>
      </c>
      <c r="E9237" t="str">
        <f>"4574674200969772"</f>
        <v>4574674200969772</v>
      </c>
      <c r="F9237" t="str">
        <f>"511"</f>
        <v>511</v>
      </c>
      <c r="G9237">
        <v>1</v>
      </c>
      <c r="H9237">
        <v>2023</v>
      </c>
      <c r="I9237" t="s">
        <v>9352</v>
      </c>
    </row>
    <row r="9238" spans="1:9" x14ac:dyDescent="0.3">
      <c r="A9238" t="s">
        <v>10138</v>
      </c>
      <c r="B9238" t="s">
        <v>83</v>
      </c>
      <c r="C9238">
        <v>9406582649</v>
      </c>
      <c r="D9238" s="2">
        <v>1</v>
      </c>
      <c r="E9238" t="str">
        <f>"4574674200969798"</f>
        <v>4574674200969798</v>
      </c>
      <c r="F9238" t="str">
        <f>"719"</f>
        <v>719</v>
      </c>
      <c r="G9238">
        <v>1</v>
      </c>
      <c r="H9238">
        <v>2023</v>
      </c>
      <c r="I9238" t="s">
        <v>9353</v>
      </c>
    </row>
    <row r="9239" spans="1:9" x14ac:dyDescent="0.3">
      <c r="A9239" t="s">
        <v>10138</v>
      </c>
      <c r="B9239" t="s">
        <v>83</v>
      </c>
      <c r="C9239">
        <v>9406582649</v>
      </c>
      <c r="D9239" s="2">
        <v>1</v>
      </c>
      <c r="E9239" t="str">
        <f>"4574674200969814"</f>
        <v>4574674200969814</v>
      </c>
      <c r="F9239" t="str">
        <f>"585"</f>
        <v>585</v>
      </c>
      <c r="G9239">
        <v>1</v>
      </c>
      <c r="H9239">
        <v>2023</v>
      </c>
      <c r="I9239" t="s">
        <v>9354</v>
      </c>
    </row>
    <row r="9240" spans="1:9" x14ac:dyDescent="0.3">
      <c r="A9240" t="s">
        <v>10138</v>
      </c>
      <c r="B9240" t="s">
        <v>83</v>
      </c>
      <c r="C9240">
        <v>9406582649</v>
      </c>
      <c r="D9240" s="2">
        <v>1</v>
      </c>
      <c r="E9240" t="str">
        <f>"4574674200969848"</f>
        <v>4574674200969848</v>
      </c>
      <c r="F9240" t="str">
        <f>"456"</f>
        <v>456</v>
      </c>
      <c r="G9240">
        <v>1</v>
      </c>
      <c r="H9240">
        <v>2023</v>
      </c>
      <c r="I9240" t="s">
        <v>9355</v>
      </c>
    </row>
    <row r="9241" spans="1:9" x14ac:dyDescent="0.3">
      <c r="A9241" t="s">
        <v>10138</v>
      </c>
      <c r="B9241" t="s">
        <v>83</v>
      </c>
      <c r="C9241">
        <v>9406582649</v>
      </c>
      <c r="D9241" s="2">
        <v>1</v>
      </c>
      <c r="E9241" t="str">
        <f>"4574674200969863"</f>
        <v>4574674200969863</v>
      </c>
      <c r="F9241" t="str">
        <f>"968"</f>
        <v>968</v>
      </c>
      <c r="G9241">
        <v>1</v>
      </c>
      <c r="H9241">
        <v>2023</v>
      </c>
      <c r="I9241" t="s">
        <v>9356</v>
      </c>
    </row>
    <row r="9242" spans="1:9" x14ac:dyDescent="0.3">
      <c r="A9242" t="s">
        <v>10138</v>
      </c>
      <c r="B9242" t="s">
        <v>83</v>
      </c>
      <c r="C9242">
        <v>9406582649</v>
      </c>
      <c r="D9242" s="2">
        <v>1</v>
      </c>
      <c r="E9242" t="str">
        <f>"4574674200968386"</f>
        <v>4574674200968386</v>
      </c>
      <c r="F9242" t="str">
        <f>"076"</f>
        <v>076</v>
      </c>
      <c r="G9242">
        <v>1</v>
      </c>
      <c r="H9242">
        <v>2023</v>
      </c>
      <c r="I9242" t="s">
        <v>9357</v>
      </c>
    </row>
    <row r="9243" spans="1:9" x14ac:dyDescent="0.3">
      <c r="A9243" t="s">
        <v>10138</v>
      </c>
      <c r="B9243" t="s">
        <v>83</v>
      </c>
      <c r="C9243">
        <v>9406582649</v>
      </c>
      <c r="D9243" s="2">
        <v>1</v>
      </c>
      <c r="E9243" t="str">
        <f>"4574674200969939"</f>
        <v>4574674200969939</v>
      </c>
      <c r="F9243" t="str">
        <f>"097"</f>
        <v>097</v>
      </c>
      <c r="G9243">
        <v>1</v>
      </c>
      <c r="H9243">
        <v>2023</v>
      </c>
      <c r="I9243" t="s">
        <v>9358</v>
      </c>
    </row>
    <row r="9244" spans="1:9" x14ac:dyDescent="0.3">
      <c r="A9244" t="s">
        <v>10138</v>
      </c>
      <c r="B9244" t="s">
        <v>83</v>
      </c>
      <c r="C9244">
        <v>9406582649</v>
      </c>
      <c r="D9244" s="2">
        <v>1</v>
      </c>
      <c r="E9244" t="str">
        <f>"4574674200969954"</f>
        <v>4574674200969954</v>
      </c>
      <c r="F9244" t="str">
        <f>"956"</f>
        <v>956</v>
      </c>
      <c r="G9244">
        <v>1</v>
      </c>
      <c r="H9244">
        <v>2023</v>
      </c>
      <c r="I9244" t="s">
        <v>9359</v>
      </c>
    </row>
    <row r="9245" spans="1:9" x14ac:dyDescent="0.3">
      <c r="A9245" t="s">
        <v>10138</v>
      </c>
      <c r="B9245" t="s">
        <v>83</v>
      </c>
      <c r="C9245">
        <v>9406582649</v>
      </c>
      <c r="D9245" s="2">
        <v>1</v>
      </c>
      <c r="E9245" t="str">
        <f>"4574674200969962"</f>
        <v>4574674200969962</v>
      </c>
      <c r="F9245" t="str">
        <f>"945"</f>
        <v>945</v>
      </c>
      <c r="G9245">
        <v>1</v>
      </c>
      <c r="H9245">
        <v>2023</v>
      </c>
      <c r="I9245" t="s">
        <v>9360</v>
      </c>
    </row>
    <row r="9246" spans="1:9" x14ac:dyDescent="0.3">
      <c r="A9246" t="s">
        <v>10139</v>
      </c>
      <c r="B9246" t="s">
        <v>84</v>
      </c>
      <c r="C9246">
        <v>9406582649</v>
      </c>
      <c r="D9246" s="2">
        <v>1</v>
      </c>
      <c r="E9246" t="str">
        <f>"4574674200969996"</f>
        <v>4574674200969996</v>
      </c>
      <c r="F9246" t="str">
        <f>"601"</f>
        <v>601</v>
      </c>
      <c r="G9246">
        <v>1</v>
      </c>
      <c r="H9246">
        <v>2023</v>
      </c>
      <c r="I9246" t="s">
        <v>9361</v>
      </c>
    </row>
    <row r="9247" spans="1:9" x14ac:dyDescent="0.3">
      <c r="A9247" t="s">
        <v>10139</v>
      </c>
      <c r="B9247" t="s">
        <v>84</v>
      </c>
      <c r="C9247">
        <v>9406582649</v>
      </c>
      <c r="D9247" s="2">
        <v>1</v>
      </c>
      <c r="E9247" t="str">
        <f>"4574674200969988"</f>
        <v>4574674200969988</v>
      </c>
      <c r="F9247" t="str">
        <f>"931"</f>
        <v>931</v>
      </c>
      <c r="G9247">
        <v>1</v>
      </c>
      <c r="H9247">
        <v>2023</v>
      </c>
      <c r="I9247" t="s">
        <v>9362</v>
      </c>
    </row>
    <row r="9248" spans="1:9" x14ac:dyDescent="0.3">
      <c r="A9248" t="s">
        <v>10139</v>
      </c>
      <c r="B9248" t="s">
        <v>84</v>
      </c>
      <c r="C9248">
        <v>9406582649</v>
      </c>
      <c r="D9248" s="2">
        <v>1</v>
      </c>
      <c r="E9248" t="str">
        <f>"4574674200970010"</f>
        <v>4574674200970010</v>
      </c>
      <c r="F9248" t="str">
        <f>"746"</f>
        <v>746</v>
      </c>
      <c r="G9248">
        <v>1</v>
      </c>
      <c r="H9248">
        <v>2023</v>
      </c>
      <c r="I9248" t="s">
        <v>9363</v>
      </c>
    </row>
    <row r="9249" spans="1:9" x14ac:dyDescent="0.3">
      <c r="A9249" t="s">
        <v>10139</v>
      </c>
      <c r="B9249" t="s">
        <v>84</v>
      </c>
      <c r="C9249">
        <v>9406582649</v>
      </c>
      <c r="D9249" s="2">
        <v>1</v>
      </c>
      <c r="E9249" t="str">
        <f>"4574674200970077"</f>
        <v>4574674200970077</v>
      </c>
      <c r="F9249" t="str">
        <f>"465"</f>
        <v>465</v>
      </c>
      <c r="G9249">
        <v>1</v>
      </c>
      <c r="H9249">
        <v>2023</v>
      </c>
      <c r="I9249" t="s">
        <v>9364</v>
      </c>
    </row>
    <row r="9250" spans="1:9" x14ac:dyDescent="0.3">
      <c r="A9250" t="s">
        <v>10139</v>
      </c>
      <c r="B9250" t="s">
        <v>84</v>
      </c>
      <c r="C9250">
        <v>9406582649</v>
      </c>
      <c r="D9250" s="2">
        <v>1</v>
      </c>
      <c r="E9250" t="str">
        <f>"4574674200970093"</f>
        <v>4574674200970093</v>
      </c>
      <c r="F9250" t="str">
        <f>"268"</f>
        <v>268</v>
      </c>
      <c r="G9250">
        <v>1</v>
      </c>
      <c r="H9250">
        <v>2023</v>
      </c>
      <c r="I9250" t="s">
        <v>9365</v>
      </c>
    </row>
    <row r="9251" spans="1:9" x14ac:dyDescent="0.3">
      <c r="A9251" t="s">
        <v>10139</v>
      </c>
      <c r="B9251" t="s">
        <v>84</v>
      </c>
      <c r="C9251">
        <v>9406582649</v>
      </c>
      <c r="D9251" s="2">
        <v>1</v>
      </c>
      <c r="E9251" t="str">
        <f>"4574674200970127"</f>
        <v>4574674200970127</v>
      </c>
      <c r="F9251" t="str">
        <f>"500"</f>
        <v>500</v>
      </c>
      <c r="G9251">
        <v>1</v>
      </c>
      <c r="H9251">
        <v>2023</v>
      </c>
      <c r="I9251" t="s">
        <v>9366</v>
      </c>
    </row>
    <row r="9252" spans="1:9" x14ac:dyDescent="0.3">
      <c r="A9252" t="s">
        <v>10139</v>
      </c>
      <c r="B9252" t="s">
        <v>84</v>
      </c>
      <c r="C9252">
        <v>9406582649</v>
      </c>
      <c r="D9252" s="2">
        <v>1</v>
      </c>
      <c r="E9252" t="str">
        <f>"4574674200970176"</f>
        <v>4574674200970176</v>
      </c>
      <c r="F9252" t="str">
        <f>"055"</f>
        <v>055</v>
      </c>
      <c r="G9252">
        <v>1</v>
      </c>
      <c r="H9252">
        <v>2023</v>
      </c>
      <c r="I9252" t="s">
        <v>9367</v>
      </c>
    </row>
    <row r="9253" spans="1:9" x14ac:dyDescent="0.3">
      <c r="A9253" t="s">
        <v>10139</v>
      </c>
      <c r="B9253" t="s">
        <v>84</v>
      </c>
      <c r="C9253">
        <v>9406582649</v>
      </c>
      <c r="D9253" s="2">
        <v>1</v>
      </c>
      <c r="E9253" t="str">
        <f>"4574674200970192"</f>
        <v>4574674200970192</v>
      </c>
      <c r="F9253" t="str">
        <f>"303"</f>
        <v>303</v>
      </c>
      <c r="G9253">
        <v>1</v>
      </c>
      <c r="H9253">
        <v>2023</v>
      </c>
      <c r="I9253" t="s">
        <v>9368</v>
      </c>
    </row>
    <row r="9254" spans="1:9" x14ac:dyDescent="0.3">
      <c r="A9254" t="s">
        <v>10139</v>
      </c>
      <c r="B9254" t="s">
        <v>84</v>
      </c>
      <c r="C9254">
        <v>9406582649</v>
      </c>
      <c r="D9254" s="2">
        <v>1</v>
      </c>
      <c r="E9254" t="str">
        <f>"4574674200970416"</f>
        <v>4574674200970416</v>
      </c>
      <c r="F9254" t="str">
        <f>"930"</f>
        <v>930</v>
      </c>
      <c r="G9254">
        <v>1</v>
      </c>
      <c r="H9254">
        <v>2023</v>
      </c>
      <c r="I9254" t="s">
        <v>9369</v>
      </c>
    </row>
    <row r="9255" spans="1:9" x14ac:dyDescent="0.3">
      <c r="A9255" t="s">
        <v>10139</v>
      </c>
      <c r="B9255" t="s">
        <v>84</v>
      </c>
      <c r="C9255">
        <v>9406582649</v>
      </c>
      <c r="D9255" s="2">
        <v>1</v>
      </c>
      <c r="E9255" t="str">
        <f>"4574674200970218"</f>
        <v>4574674200970218</v>
      </c>
      <c r="F9255" t="str">
        <f>"684"</f>
        <v>684</v>
      </c>
      <c r="G9255">
        <v>1</v>
      </c>
      <c r="H9255">
        <v>2023</v>
      </c>
      <c r="I9255" t="s">
        <v>9370</v>
      </c>
    </row>
    <row r="9256" spans="1:9" x14ac:dyDescent="0.3">
      <c r="A9256" t="s">
        <v>10138</v>
      </c>
      <c r="B9256" t="s">
        <v>83</v>
      </c>
      <c r="C9256">
        <v>9406582649</v>
      </c>
      <c r="D9256" s="2">
        <v>1</v>
      </c>
      <c r="E9256" t="str">
        <f>"4574674200970465"</f>
        <v>4574674200970465</v>
      </c>
      <c r="F9256" t="str">
        <f>"267"</f>
        <v>267</v>
      </c>
      <c r="G9256">
        <v>1</v>
      </c>
      <c r="H9256">
        <v>2023</v>
      </c>
      <c r="I9256" t="s">
        <v>9371</v>
      </c>
    </row>
    <row r="9257" spans="1:9" x14ac:dyDescent="0.3">
      <c r="A9257" t="s">
        <v>10138</v>
      </c>
      <c r="B9257" t="s">
        <v>83</v>
      </c>
      <c r="C9257">
        <v>9406582649</v>
      </c>
      <c r="D9257" s="2">
        <v>1</v>
      </c>
      <c r="E9257" t="str">
        <f>"4574674200970457"</f>
        <v>4574674200970457</v>
      </c>
      <c r="F9257" t="str">
        <f>"945"</f>
        <v>945</v>
      </c>
      <c r="G9257">
        <v>1</v>
      </c>
      <c r="H9257">
        <v>2023</v>
      </c>
      <c r="I9257" t="s">
        <v>9372</v>
      </c>
    </row>
    <row r="9258" spans="1:9" x14ac:dyDescent="0.3">
      <c r="A9258" t="s">
        <v>10138</v>
      </c>
      <c r="B9258" t="s">
        <v>83</v>
      </c>
      <c r="C9258">
        <v>9406582649</v>
      </c>
      <c r="D9258" s="2">
        <v>1</v>
      </c>
      <c r="E9258" t="str">
        <f>"4574674200970473"</f>
        <v>4574674200970473</v>
      </c>
      <c r="F9258" t="str">
        <f>"233"</f>
        <v>233</v>
      </c>
      <c r="G9258">
        <v>1</v>
      </c>
      <c r="H9258">
        <v>2023</v>
      </c>
      <c r="I9258" t="s">
        <v>9373</v>
      </c>
    </row>
    <row r="9259" spans="1:9" x14ac:dyDescent="0.3">
      <c r="A9259" t="s">
        <v>10138</v>
      </c>
      <c r="B9259" t="s">
        <v>83</v>
      </c>
      <c r="C9259">
        <v>9406582649</v>
      </c>
      <c r="D9259" s="2">
        <v>1</v>
      </c>
      <c r="E9259" t="str">
        <f>"4574674200970531"</f>
        <v>4574674200970531</v>
      </c>
      <c r="F9259" t="str">
        <f>"733"</f>
        <v>733</v>
      </c>
      <c r="G9259">
        <v>1</v>
      </c>
      <c r="H9259">
        <v>2023</v>
      </c>
      <c r="I9259" t="s">
        <v>9374</v>
      </c>
    </row>
    <row r="9260" spans="1:9" x14ac:dyDescent="0.3">
      <c r="A9260" t="s">
        <v>10138</v>
      </c>
      <c r="B9260" t="s">
        <v>83</v>
      </c>
      <c r="C9260">
        <v>9406582649</v>
      </c>
      <c r="D9260" s="2">
        <v>1</v>
      </c>
      <c r="E9260" t="str">
        <f>"4574674200970572"</f>
        <v>4574674200970572</v>
      </c>
      <c r="F9260" t="str">
        <f>"349"</f>
        <v>349</v>
      </c>
      <c r="G9260">
        <v>1</v>
      </c>
      <c r="H9260">
        <v>2023</v>
      </c>
      <c r="I9260" t="s">
        <v>9375</v>
      </c>
    </row>
    <row r="9261" spans="1:9" x14ac:dyDescent="0.3">
      <c r="A9261" t="s">
        <v>10138</v>
      </c>
      <c r="B9261" t="s">
        <v>83</v>
      </c>
      <c r="C9261">
        <v>9406582649</v>
      </c>
      <c r="D9261" s="2">
        <v>1</v>
      </c>
      <c r="E9261" t="str">
        <f>"4574674200970580"</f>
        <v>4574674200970580</v>
      </c>
      <c r="F9261" t="str">
        <f>"034"</f>
        <v>034</v>
      </c>
      <c r="G9261">
        <v>1</v>
      </c>
      <c r="H9261">
        <v>2023</v>
      </c>
      <c r="I9261" t="s">
        <v>9376</v>
      </c>
    </row>
    <row r="9262" spans="1:9" x14ac:dyDescent="0.3">
      <c r="A9262" t="s">
        <v>10138</v>
      </c>
      <c r="B9262" t="s">
        <v>83</v>
      </c>
      <c r="C9262">
        <v>9406582649</v>
      </c>
      <c r="D9262" s="2">
        <v>1</v>
      </c>
      <c r="E9262" t="str">
        <f>"4574674200970622"</f>
        <v>4574674200970622</v>
      </c>
      <c r="F9262" t="str">
        <f>"130"</f>
        <v>130</v>
      </c>
      <c r="G9262">
        <v>1</v>
      </c>
      <c r="H9262">
        <v>2023</v>
      </c>
      <c r="I9262" t="s">
        <v>9377</v>
      </c>
    </row>
    <row r="9263" spans="1:9" x14ac:dyDescent="0.3">
      <c r="A9263" t="s">
        <v>10138</v>
      </c>
      <c r="B9263" t="s">
        <v>83</v>
      </c>
      <c r="C9263">
        <v>9406582649</v>
      </c>
      <c r="D9263" s="2">
        <v>1</v>
      </c>
      <c r="E9263" t="str">
        <f>"4574674200970648"</f>
        <v>4574674200970648</v>
      </c>
      <c r="F9263" t="str">
        <f>"842"</f>
        <v>842</v>
      </c>
      <c r="G9263">
        <v>1</v>
      </c>
      <c r="H9263">
        <v>2023</v>
      </c>
      <c r="I9263" t="s">
        <v>9378</v>
      </c>
    </row>
    <row r="9264" spans="1:9" x14ac:dyDescent="0.3">
      <c r="A9264" t="s">
        <v>10138</v>
      </c>
      <c r="B9264" t="s">
        <v>83</v>
      </c>
      <c r="C9264">
        <v>9406582649</v>
      </c>
      <c r="D9264" s="2">
        <v>1</v>
      </c>
      <c r="E9264" t="str">
        <f>"4574674200970655"</f>
        <v>4574674200970655</v>
      </c>
      <c r="F9264" t="str">
        <f>"072"</f>
        <v>072</v>
      </c>
      <c r="G9264">
        <v>1</v>
      </c>
      <c r="H9264">
        <v>2023</v>
      </c>
      <c r="I9264" t="s">
        <v>9379</v>
      </c>
    </row>
    <row r="9265" spans="1:9" x14ac:dyDescent="0.3">
      <c r="A9265" t="s">
        <v>10138</v>
      </c>
      <c r="B9265" t="s">
        <v>83</v>
      </c>
      <c r="C9265">
        <v>9406582649</v>
      </c>
      <c r="D9265" s="2">
        <v>1</v>
      </c>
      <c r="E9265" t="str">
        <f>"4574674200970721"</f>
        <v>4574674200970721</v>
      </c>
      <c r="F9265" t="str">
        <f>"897"</f>
        <v>897</v>
      </c>
      <c r="G9265">
        <v>1</v>
      </c>
      <c r="H9265">
        <v>2023</v>
      </c>
      <c r="I9265" t="s">
        <v>9380</v>
      </c>
    </row>
    <row r="9266" spans="1:9" x14ac:dyDescent="0.3">
      <c r="A9266" t="s">
        <v>10140</v>
      </c>
      <c r="B9266" t="s">
        <v>85</v>
      </c>
      <c r="C9266">
        <v>9406582649</v>
      </c>
      <c r="D9266" s="2">
        <v>1</v>
      </c>
      <c r="E9266" t="str">
        <f>"4574674200970747"</f>
        <v>4574674200970747</v>
      </c>
      <c r="F9266" t="str">
        <f>"612"</f>
        <v>612</v>
      </c>
      <c r="G9266">
        <v>1</v>
      </c>
      <c r="H9266">
        <v>2023</v>
      </c>
      <c r="I9266" t="s">
        <v>9381</v>
      </c>
    </row>
    <row r="9267" spans="1:9" x14ac:dyDescent="0.3">
      <c r="A9267" t="s">
        <v>10140</v>
      </c>
      <c r="B9267" t="s">
        <v>85</v>
      </c>
      <c r="C9267">
        <v>9406582649</v>
      </c>
      <c r="D9267" s="2">
        <v>1</v>
      </c>
      <c r="E9267" t="str">
        <f>"4574674200970754"</f>
        <v>4574674200970754</v>
      </c>
      <c r="F9267" t="str">
        <f>"852"</f>
        <v>852</v>
      </c>
      <c r="G9267">
        <v>1</v>
      </c>
      <c r="H9267">
        <v>2023</v>
      </c>
      <c r="I9267" t="s">
        <v>9382</v>
      </c>
    </row>
    <row r="9268" spans="1:9" x14ac:dyDescent="0.3">
      <c r="A9268" t="s">
        <v>10140</v>
      </c>
      <c r="B9268" t="s">
        <v>85</v>
      </c>
      <c r="C9268">
        <v>9406582649</v>
      </c>
      <c r="D9268" s="2">
        <v>1</v>
      </c>
      <c r="E9268" t="str">
        <f>"4574674200970796"</f>
        <v>4574674200970796</v>
      </c>
      <c r="F9268" t="str">
        <f>"329"</f>
        <v>329</v>
      </c>
      <c r="G9268">
        <v>1</v>
      </c>
      <c r="H9268">
        <v>2023</v>
      </c>
      <c r="I9268" t="s">
        <v>9383</v>
      </c>
    </row>
    <row r="9269" spans="1:9" x14ac:dyDescent="0.3">
      <c r="A9269" t="s">
        <v>10140</v>
      </c>
      <c r="B9269" t="s">
        <v>85</v>
      </c>
      <c r="C9269">
        <v>9406582649</v>
      </c>
      <c r="D9269" s="2">
        <v>1</v>
      </c>
      <c r="E9269" t="str">
        <f>"4574674200970812"</f>
        <v>4574674200970812</v>
      </c>
      <c r="F9269" t="str">
        <f>"213"</f>
        <v>213</v>
      </c>
      <c r="G9269">
        <v>1</v>
      </c>
      <c r="H9269">
        <v>2023</v>
      </c>
      <c r="I9269" t="s">
        <v>9384</v>
      </c>
    </row>
    <row r="9270" spans="1:9" x14ac:dyDescent="0.3">
      <c r="A9270" t="s">
        <v>10140</v>
      </c>
      <c r="B9270" t="s">
        <v>85</v>
      </c>
      <c r="C9270">
        <v>9406582649</v>
      </c>
      <c r="D9270" s="2">
        <v>1</v>
      </c>
      <c r="E9270" t="str">
        <f>"4574674200970275"</f>
        <v>4574674200970275</v>
      </c>
      <c r="F9270" t="str">
        <f>"979"</f>
        <v>979</v>
      </c>
      <c r="G9270">
        <v>1</v>
      </c>
      <c r="H9270">
        <v>2023</v>
      </c>
      <c r="I9270" t="s">
        <v>9385</v>
      </c>
    </row>
    <row r="9271" spans="1:9" x14ac:dyDescent="0.3">
      <c r="A9271" t="s">
        <v>10140</v>
      </c>
      <c r="B9271" t="s">
        <v>85</v>
      </c>
      <c r="C9271">
        <v>9406582649</v>
      </c>
      <c r="D9271" s="2">
        <v>1</v>
      </c>
      <c r="E9271" t="str">
        <f>"4574674200970820"</f>
        <v>4574674200970820</v>
      </c>
      <c r="F9271" t="str">
        <f>"660"</f>
        <v>660</v>
      </c>
      <c r="G9271">
        <v>1</v>
      </c>
      <c r="H9271">
        <v>2023</v>
      </c>
      <c r="I9271" t="s">
        <v>9386</v>
      </c>
    </row>
    <row r="9272" spans="1:9" x14ac:dyDescent="0.3">
      <c r="A9272" t="s">
        <v>10140</v>
      </c>
      <c r="B9272" t="s">
        <v>85</v>
      </c>
      <c r="C9272">
        <v>9406582649</v>
      </c>
      <c r="D9272" s="2">
        <v>1</v>
      </c>
      <c r="E9272" t="str">
        <f>"4574674200970887"</f>
        <v>4574674200970887</v>
      </c>
      <c r="F9272" t="str">
        <f>"409"</f>
        <v>409</v>
      </c>
      <c r="G9272">
        <v>1</v>
      </c>
      <c r="H9272">
        <v>2023</v>
      </c>
      <c r="I9272" t="s">
        <v>9387</v>
      </c>
    </row>
    <row r="9273" spans="1:9" x14ac:dyDescent="0.3">
      <c r="A9273" t="s">
        <v>10140</v>
      </c>
      <c r="B9273" t="s">
        <v>85</v>
      </c>
      <c r="C9273">
        <v>9406582649</v>
      </c>
      <c r="D9273" s="2">
        <v>1</v>
      </c>
      <c r="E9273" t="str">
        <f>"4574674200970895"</f>
        <v>4574674200970895</v>
      </c>
      <c r="F9273" t="str">
        <f>"832"</f>
        <v>832</v>
      </c>
      <c r="G9273">
        <v>1</v>
      </c>
      <c r="H9273">
        <v>2023</v>
      </c>
      <c r="I9273" t="s">
        <v>9388</v>
      </c>
    </row>
    <row r="9274" spans="1:9" x14ac:dyDescent="0.3">
      <c r="A9274" t="s">
        <v>10140</v>
      </c>
      <c r="B9274" t="s">
        <v>85</v>
      </c>
      <c r="C9274">
        <v>9406582649</v>
      </c>
      <c r="D9274" s="2">
        <v>1</v>
      </c>
      <c r="E9274" t="str">
        <f>"4574674200970903"</f>
        <v>4574674200970903</v>
      </c>
      <c r="F9274" t="str">
        <f>"794"</f>
        <v>794</v>
      </c>
      <c r="G9274">
        <v>1</v>
      </c>
      <c r="H9274">
        <v>2023</v>
      </c>
      <c r="I9274" t="s">
        <v>9389</v>
      </c>
    </row>
    <row r="9275" spans="1:9" x14ac:dyDescent="0.3">
      <c r="A9275" t="s">
        <v>10140</v>
      </c>
      <c r="B9275" t="s">
        <v>85</v>
      </c>
      <c r="C9275">
        <v>9406582649</v>
      </c>
      <c r="D9275" s="2">
        <v>1</v>
      </c>
      <c r="E9275" t="str">
        <f>"4574674200970960"</f>
        <v>4574674200970960</v>
      </c>
      <c r="F9275" t="str">
        <f>"775"</f>
        <v>775</v>
      </c>
      <c r="G9275">
        <v>1</v>
      </c>
      <c r="H9275">
        <v>2023</v>
      </c>
      <c r="I9275" t="s">
        <v>9390</v>
      </c>
    </row>
    <row r="9276" spans="1:9" x14ac:dyDescent="0.3">
      <c r="A9276" t="s">
        <v>10141</v>
      </c>
      <c r="B9276" t="s">
        <v>86</v>
      </c>
      <c r="C9276">
        <v>9406582649</v>
      </c>
      <c r="D9276" s="2">
        <v>1</v>
      </c>
      <c r="E9276" t="str">
        <f>"4574674200970978"</f>
        <v>4574674200970978</v>
      </c>
      <c r="F9276" t="str">
        <f>"946"</f>
        <v>946</v>
      </c>
      <c r="G9276">
        <v>1</v>
      </c>
      <c r="H9276">
        <v>2023</v>
      </c>
      <c r="I9276" t="s">
        <v>9391</v>
      </c>
    </row>
    <row r="9277" spans="1:9" x14ac:dyDescent="0.3">
      <c r="A9277" t="s">
        <v>10141</v>
      </c>
      <c r="B9277" t="s">
        <v>86</v>
      </c>
      <c r="C9277">
        <v>9406582649</v>
      </c>
      <c r="D9277" s="2">
        <v>1</v>
      </c>
      <c r="E9277" t="str">
        <f>"4574674200970986"</f>
        <v>4574674200970986</v>
      </c>
      <c r="F9277" t="str">
        <f>"612"</f>
        <v>612</v>
      </c>
      <c r="G9277">
        <v>1</v>
      </c>
      <c r="H9277">
        <v>2023</v>
      </c>
      <c r="I9277" t="s">
        <v>9392</v>
      </c>
    </row>
    <row r="9278" spans="1:9" x14ac:dyDescent="0.3">
      <c r="A9278" t="s">
        <v>10141</v>
      </c>
      <c r="B9278" t="s">
        <v>86</v>
      </c>
      <c r="C9278">
        <v>9406582649</v>
      </c>
      <c r="D9278" s="2">
        <v>1</v>
      </c>
      <c r="E9278" t="str">
        <f>"4574674200971059"</f>
        <v>4574674200971059</v>
      </c>
      <c r="F9278" t="str">
        <f>"900"</f>
        <v>900</v>
      </c>
      <c r="G9278">
        <v>1</v>
      </c>
      <c r="H9278">
        <v>2023</v>
      </c>
      <c r="I9278" t="s">
        <v>9393</v>
      </c>
    </row>
    <row r="9279" spans="1:9" x14ac:dyDescent="0.3">
      <c r="A9279" t="s">
        <v>10141</v>
      </c>
      <c r="B9279" t="s">
        <v>86</v>
      </c>
      <c r="C9279">
        <v>9406582649</v>
      </c>
      <c r="D9279" s="2">
        <v>1</v>
      </c>
      <c r="E9279" t="str">
        <f>"4574674200971075"</f>
        <v>4574674200971075</v>
      </c>
      <c r="F9279" t="str">
        <f>"762"</f>
        <v>762</v>
      </c>
      <c r="G9279">
        <v>1</v>
      </c>
      <c r="H9279">
        <v>2023</v>
      </c>
      <c r="I9279" t="s">
        <v>9394</v>
      </c>
    </row>
    <row r="9280" spans="1:9" x14ac:dyDescent="0.3">
      <c r="A9280" t="s">
        <v>10141</v>
      </c>
      <c r="B9280" t="s">
        <v>86</v>
      </c>
      <c r="C9280">
        <v>9406582649</v>
      </c>
      <c r="D9280" s="2">
        <v>1</v>
      </c>
      <c r="E9280" t="str">
        <f>"4574674200971109"</f>
        <v>4574674200971109</v>
      </c>
      <c r="F9280" t="str">
        <f>"588"</f>
        <v>588</v>
      </c>
      <c r="G9280">
        <v>1</v>
      </c>
      <c r="H9280">
        <v>2023</v>
      </c>
      <c r="I9280" t="s">
        <v>9395</v>
      </c>
    </row>
    <row r="9281" spans="1:9" x14ac:dyDescent="0.3">
      <c r="A9281" t="s">
        <v>10141</v>
      </c>
      <c r="B9281" t="s">
        <v>86</v>
      </c>
      <c r="C9281">
        <v>9406582649</v>
      </c>
      <c r="D9281" s="2">
        <v>1</v>
      </c>
      <c r="E9281" t="str">
        <f>"4574674200971133"</f>
        <v>4574674200971133</v>
      </c>
      <c r="F9281" t="str">
        <f>"812"</f>
        <v>812</v>
      </c>
      <c r="G9281">
        <v>1</v>
      </c>
      <c r="H9281">
        <v>2023</v>
      </c>
      <c r="I9281" t="s">
        <v>9396</v>
      </c>
    </row>
    <row r="9282" spans="1:9" x14ac:dyDescent="0.3">
      <c r="A9282" t="s">
        <v>10141</v>
      </c>
      <c r="B9282" t="s">
        <v>86</v>
      </c>
      <c r="C9282">
        <v>9406582649</v>
      </c>
      <c r="D9282" s="2">
        <v>1</v>
      </c>
      <c r="E9282" t="str">
        <f>"4574674200971141"</f>
        <v>4574674200971141</v>
      </c>
      <c r="F9282" t="str">
        <f>"758"</f>
        <v>758</v>
      </c>
      <c r="G9282">
        <v>1</v>
      </c>
      <c r="H9282">
        <v>2023</v>
      </c>
      <c r="I9282" t="s">
        <v>9397</v>
      </c>
    </row>
    <row r="9283" spans="1:9" x14ac:dyDescent="0.3">
      <c r="A9283" t="s">
        <v>10141</v>
      </c>
      <c r="B9283" t="s">
        <v>86</v>
      </c>
      <c r="C9283">
        <v>9406582649</v>
      </c>
      <c r="D9283" s="2">
        <v>1</v>
      </c>
      <c r="E9283" t="str">
        <f>"4574674200971166"</f>
        <v>4574674200971166</v>
      </c>
      <c r="F9283" t="str">
        <f>"275"</f>
        <v>275</v>
      </c>
      <c r="G9283">
        <v>1</v>
      </c>
      <c r="H9283">
        <v>2023</v>
      </c>
      <c r="I9283" t="s">
        <v>9398</v>
      </c>
    </row>
    <row r="9284" spans="1:9" x14ac:dyDescent="0.3">
      <c r="A9284" t="s">
        <v>10141</v>
      </c>
      <c r="B9284" t="s">
        <v>86</v>
      </c>
      <c r="C9284">
        <v>9406582649</v>
      </c>
      <c r="D9284" s="2">
        <v>1</v>
      </c>
      <c r="E9284" t="str">
        <f>"4574674200971224"</f>
        <v>4574674200971224</v>
      </c>
      <c r="F9284" t="str">
        <f>"676"</f>
        <v>676</v>
      </c>
      <c r="G9284">
        <v>1</v>
      </c>
      <c r="H9284">
        <v>2023</v>
      </c>
      <c r="I9284" t="s">
        <v>9399</v>
      </c>
    </row>
    <row r="9285" spans="1:9" x14ac:dyDescent="0.3">
      <c r="A9285" t="s">
        <v>10141</v>
      </c>
      <c r="B9285" t="s">
        <v>86</v>
      </c>
      <c r="C9285">
        <v>9406582649</v>
      </c>
      <c r="D9285" s="2">
        <v>1</v>
      </c>
      <c r="E9285" t="str">
        <f>"4574674200971299"</f>
        <v>4574674200971299</v>
      </c>
      <c r="F9285" t="str">
        <f>"238"</f>
        <v>238</v>
      </c>
      <c r="G9285">
        <v>1</v>
      </c>
      <c r="H9285">
        <v>2023</v>
      </c>
      <c r="I9285" t="s">
        <v>9400</v>
      </c>
    </row>
    <row r="9286" spans="1:9" x14ac:dyDescent="0.3">
      <c r="A9286" t="s">
        <v>10142</v>
      </c>
      <c r="B9286" t="s">
        <v>87</v>
      </c>
      <c r="C9286">
        <v>9406582649</v>
      </c>
      <c r="D9286" s="2">
        <v>1</v>
      </c>
      <c r="E9286" t="str">
        <f>"4574674200971372"</f>
        <v>4574674200971372</v>
      </c>
      <c r="F9286" t="str">
        <f>"585"</f>
        <v>585</v>
      </c>
      <c r="G9286">
        <v>1</v>
      </c>
      <c r="H9286">
        <v>2023</v>
      </c>
      <c r="I9286" t="s">
        <v>9401</v>
      </c>
    </row>
    <row r="9287" spans="1:9" x14ac:dyDescent="0.3">
      <c r="A9287" t="s">
        <v>10142</v>
      </c>
      <c r="B9287" t="s">
        <v>87</v>
      </c>
      <c r="C9287">
        <v>9406582649</v>
      </c>
      <c r="D9287" s="2">
        <v>1</v>
      </c>
      <c r="E9287" t="str">
        <f>"4574674200971414"</f>
        <v>4574674200971414</v>
      </c>
      <c r="F9287" t="str">
        <f>"012"</f>
        <v>012</v>
      </c>
      <c r="G9287">
        <v>1</v>
      </c>
      <c r="H9287">
        <v>2023</v>
      </c>
      <c r="I9287" t="s">
        <v>9402</v>
      </c>
    </row>
    <row r="9288" spans="1:9" x14ac:dyDescent="0.3">
      <c r="A9288" t="s">
        <v>10142</v>
      </c>
      <c r="B9288" t="s">
        <v>87</v>
      </c>
      <c r="C9288">
        <v>9406582649</v>
      </c>
      <c r="D9288" s="2">
        <v>1</v>
      </c>
      <c r="E9288" t="str">
        <f>"4574674200971505"</f>
        <v>4574674200971505</v>
      </c>
      <c r="F9288" t="str">
        <f>"537"</f>
        <v>537</v>
      </c>
      <c r="G9288">
        <v>1</v>
      </c>
      <c r="H9288">
        <v>2023</v>
      </c>
      <c r="I9288" t="s">
        <v>9403</v>
      </c>
    </row>
    <row r="9289" spans="1:9" x14ac:dyDescent="0.3">
      <c r="A9289" t="s">
        <v>10142</v>
      </c>
      <c r="B9289" t="s">
        <v>87</v>
      </c>
      <c r="C9289">
        <v>9406582649</v>
      </c>
      <c r="D9289" s="2">
        <v>1</v>
      </c>
      <c r="E9289" t="str">
        <f>"4574674200971513"</f>
        <v>4574674200971513</v>
      </c>
      <c r="F9289" t="str">
        <f>"542"</f>
        <v>542</v>
      </c>
      <c r="G9289">
        <v>1</v>
      </c>
      <c r="H9289">
        <v>2023</v>
      </c>
      <c r="I9289" t="s">
        <v>9404</v>
      </c>
    </row>
    <row r="9290" spans="1:9" x14ac:dyDescent="0.3">
      <c r="A9290" t="s">
        <v>10142</v>
      </c>
      <c r="B9290" t="s">
        <v>87</v>
      </c>
      <c r="C9290">
        <v>9406582649</v>
      </c>
      <c r="D9290" s="2">
        <v>1</v>
      </c>
      <c r="E9290" t="str">
        <f>"4574674200971521"</f>
        <v>4574674200971521</v>
      </c>
      <c r="F9290" t="str">
        <f>"631"</f>
        <v>631</v>
      </c>
      <c r="G9290">
        <v>1</v>
      </c>
      <c r="H9290">
        <v>2023</v>
      </c>
      <c r="I9290" t="s">
        <v>9405</v>
      </c>
    </row>
    <row r="9291" spans="1:9" x14ac:dyDescent="0.3">
      <c r="A9291" t="s">
        <v>10142</v>
      </c>
      <c r="B9291" t="s">
        <v>87</v>
      </c>
      <c r="C9291">
        <v>9406582649</v>
      </c>
      <c r="D9291" s="2">
        <v>1</v>
      </c>
      <c r="E9291" t="str">
        <f>"4574674200970358"</f>
        <v>4574674200970358</v>
      </c>
      <c r="F9291" t="str">
        <f>"804"</f>
        <v>804</v>
      </c>
      <c r="G9291">
        <v>1</v>
      </c>
      <c r="H9291">
        <v>2023</v>
      </c>
      <c r="I9291" t="s">
        <v>9406</v>
      </c>
    </row>
    <row r="9292" spans="1:9" x14ac:dyDescent="0.3">
      <c r="A9292" t="s">
        <v>10142</v>
      </c>
      <c r="B9292" t="s">
        <v>87</v>
      </c>
      <c r="C9292">
        <v>9406582649</v>
      </c>
      <c r="D9292" s="2">
        <v>1</v>
      </c>
      <c r="E9292" t="str">
        <f>"4574674200971570"</f>
        <v>4574674200971570</v>
      </c>
      <c r="F9292" t="str">
        <f>"306"</f>
        <v>306</v>
      </c>
      <c r="G9292">
        <v>1</v>
      </c>
      <c r="H9292">
        <v>2023</v>
      </c>
      <c r="I9292" t="s">
        <v>9407</v>
      </c>
    </row>
    <row r="9293" spans="1:9" x14ac:dyDescent="0.3">
      <c r="A9293" t="s">
        <v>10142</v>
      </c>
      <c r="B9293" t="s">
        <v>87</v>
      </c>
      <c r="C9293">
        <v>9406582649</v>
      </c>
      <c r="D9293" s="2">
        <v>1</v>
      </c>
      <c r="E9293" t="str">
        <f>"4574674200971653"</f>
        <v>4574674200971653</v>
      </c>
      <c r="F9293" t="str">
        <f>"920"</f>
        <v>920</v>
      </c>
      <c r="G9293">
        <v>1</v>
      </c>
      <c r="H9293">
        <v>2023</v>
      </c>
      <c r="I9293" t="s">
        <v>9408</v>
      </c>
    </row>
    <row r="9294" spans="1:9" x14ac:dyDescent="0.3">
      <c r="A9294" t="s">
        <v>10142</v>
      </c>
      <c r="B9294" t="s">
        <v>87</v>
      </c>
      <c r="C9294">
        <v>9406582649</v>
      </c>
      <c r="D9294" s="2">
        <v>1</v>
      </c>
      <c r="E9294" t="str">
        <f>"4574674200971679"</f>
        <v>4574674200971679</v>
      </c>
      <c r="F9294" t="str">
        <f>"688"</f>
        <v>688</v>
      </c>
      <c r="G9294">
        <v>1</v>
      </c>
      <c r="H9294">
        <v>2023</v>
      </c>
      <c r="I9294" t="s">
        <v>9409</v>
      </c>
    </row>
    <row r="9295" spans="1:9" x14ac:dyDescent="0.3">
      <c r="A9295" t="s">
        <v>10142</v>
      </c>
      <c r="B9295" t="s">
        <v>87</v>
      </c>
      <c r="C9295">
        <v>9406582649</v>
      </c>
      <c r="D9295" s="2">
        <v>1</v>
      </c>
      <c r="E9295" t="str">
        <f>"4574674200971695"</f>
        <v>4574674200971695</v>
      </c>
      <c r="F9295" t="str">
        <f>"778"</f>
        <v>778</v>
      </c>
      <c r="G9295">
        <v>1</v>
      </c>
      <c r="H9295">
        <v>2023</v>
      </c>
      <c r="I9295" t="s">
        <v>9410</v>
      </c>
    </row>
    <row r="9296" spans="1:9" x14ac:dyDescent="0.3">
      <c r="A9296" t="s">
        <v>10143</v>
      </c>
      <c r="B9296" t="s">
        <v>88</v>
      </c>
      <c r="C9296">
        <v>9406582649</v>
      </c>
      <c r="D9296" s="2">
        <v>1</v>
      </c>
      <c r="E9296" t="str">
        <f>"4574674200971711"</f>
        <v>4574674200971711</v>
      </c>
      <c r="F9296" t="str">
        <f>"844"</f>
        <v>844</v>
      </c>
      <c r="G9296">
        <v>1</v>
      </c>
      <c r="H9296">
        <v>2023</v>
      </c>
      <c r="I9296" t="s">
        <v>9411</v>
      </c>
    </row>
    <row r="9297" spans="1:9" x14ac:dyDescent="0.3">
      <c r="A9297" t="s">
        <v>10143</v>
      </c>
      <c r="B9297" t="s">
        <v>88</v>
      </c>
      <c r="C9297">
        <v>9406582649</v>
      </c>
      <c r="D9297" s="2">
        <v>1</v>
      </c>
      <c r="E9297" t="str">
        <f>"4574674200971729"</f>
        <v>4574674200971729</v>
      </c>
      <c r="F9297" t="str">
        <f>"463"</f>
        <v>463</v>
      </c>
      <c r="G9297">
        <v>1</v>
      </c>
      <c r="H9297">
        <v>2023</v>
      </c>
      <c r="I9297" t="s">
        <v>9412</v>
      </c>
    </row>
    <row r="9298" spans="1:9" x14ac:dyDescent="0.3">
      <c r="A9298" t="s">
        <v>10143</v>
      </c>
      <c r="B9298" t="s">
        <v>88</v>
      </c>
      <c r="C9298">
        <v>9406582649</v>
      </c>
      <c r="D9298" s="2">
        <v>1</v>
      </c>
      <c r="E9298" t="str">
        <f>"4574674200971778"</f>
        <v>4574674200971778</v>
      </c>
      <c r="F9298" t="str">
        <f>"164"</f>
        <v>164</v>
      </c>
      <c r="G9298">
        <v>1</v>
      </c>
      <c r="H9298">
        <v>2023</v>
      </c>
      <c r="I9298" t="s">
        <v>9413</v>
      </c>
    </row>
    <row r="9299" spans="1:9" x14ac:dyDescent="0.3">
      <c r="A9299" t="s">
        <v>10143</v>
      </c>
      <c r="B9299" t="s">
        <v>88</v>
      </c>
      <c r="C9299">
        <v>9406582649</v>
      </c>
      <c r="D9299" s="2">
        <v>1</v>
      </c>
      <c r="E9299" t="str">
        <f>"4574674200971802"</f>
        <v>4574674200971802</v>
      </c>
      <c r="F9299" t="str">
        <f>"216"</f>
        <v>216</v>
      </c>
      <c r="G9299">
        <v>1</v>
      </c>
      <c r="H9299">
        <v>2023</v>
      </c>
      <c r="I9299" t="s">
        <v>9414</v>
      </c>
    </row>
    <row r="9300" spans="1:9" x14ac:dyDescent="0.3">
      <c r="A9300" t="s">
        <v>10143</v>
      </c>
      <c r="B9300" t="s">
        <v>88</v>
      </c>
      <c r="C9300">
        <v>9406582649</v>
      </c>
      <c r="D9300" s="2">
        <v>1</v>
      </c>
      <c r="E9300" t="str">
        <f>"4574674200971828"</f>
        <v>4574674200971828</v>
      </c>
      <c r="F9300" t="str">
        <f>"545"</f>
        <v>545</v>
      </c>
      <c r="G9300">
        <v>1</v>
      </c>
      <c r="H9300">
        <v>2023</v>
      </c>
      <c r="I9300" t="s">
        <v>9415</v>
      </c>
    </row>
    <row r="9301" spans="1:9" x14ac:dyDescent="0.3">
      <c r="A9301" t="s">
        <v>10143</v>
      </c>
      <c r="B9301" t="s">
        <v>88</v>
      </c>
      <c r="C9301">
        <v>9406582649</v>
      </c>
      <c r="D9301" s="2">
        <v>1</v>
      </c>
      <c r="E9301" t="str">
        <f>"4574674200971836"</f>
        <v>4574674200971836</v>
      </c>
      <c r="F9301" t="str">
        <f>"358"</f>
        <v>358</v>
      </c>
      <c r="G9301">
        <v>1</v>
      </c>
      <c r="H9301">
        <v>2023</v>
      </c>
      <c r="I9301" t="s">
        <v>9416</v>
      </c>
    </row>
    <row r="9302" spans="1:9" x14ac:dyDescent="0.3">
      <c r="A9302" t="s">
        <v>10143</v>
      </c>
      <c r="B9302" t="s">
        <v>88</v>
      </c>
      <c r="C9302">
        <v>9406582649</v>
      </c>
      <c r="D9302" s="2">
        <v>1</v>
      </c>
      <c r="E9302" t="str">
        <f>"4574674200970390"</f>
        <v>4574674200970390</v>
      </c>
      <c r="F9302" t="str">
        <f>"257"</f>
        <v>257</v>
      </c>
      <c r="G9302">
        <v>1</v>
      </c>
      <c r="H9302">
        <v>2023</v>
      </c>
      <c r="I9302" t="s">
        <v>9417</v>
      </c>
    </row>
    <row r="9303" spans="1:9" x14ac:dyDescent="0.3">
      <c r="A9303" t="s">
        <v>10143</v>
      </c>
      <c r="B9303" t="s">
        <v>88</v>
      </c>
      <c r="C9303">
        <v>9406582649</v>
      </c>
      <c r="D9303" s="2">
        <v>1</v>
      </c>
      <c r="E9303" t="str">
        <f>"4574674200971893"</f>
        <v>4574674200971893</v>
      </c>
      <c r="F9303" t="str">
        <f>"763"</f>
        <v>763</v>
      </c>
      <c r="G9303">
        <v>1</v>
      </c>
      <c r="H9303">
        <v>2023</v>
      </c>
      <c r="I9303" t="s">
        <v>9418</v>
      </c>
    </row>
    <row r="9304" spans="1:9" x14ac:dyDescent="0.3">
      <c r="A9304" t="s">
        <v>10143</v>
      </c>
      <c r="B9304" t="s">
        <v>88</v>
      </c>
      <c r="C9304">
        <v>9406582649</v>
      </c>
      <c r="D9304" s="2">
        <v>1</v>
      </c>
      <c r="E9304" t="str">
        <f>"4574674200971901"</f>
        <v>4574674200971901</v>
      </c>
      <c r="F9304" t="str">
        <f>"804"</f>
        <v>804</v>
      </c>
      <c r="G9304">
        <v>1</v>
      </c>
      <c r="H9304">
        <v>2023</v>
      </c>
      <c r="I9304" t="s">
        <v>9419</v>
      </c>
    </row>
    <row r="9305" spans="1:9" x14ac:dyDescent="0.3">
      <c r="A9305" t="s">
        <v>10143</v>
      </c>
      <c r="B9305" t="s">
        <v>88</v>
      </c>
      <c r="C9305">
        <v>9406582649</v>
      </c>
      <c r="D9305" s="2">
        <v>1</v>
      </c>
      <c r="E9305" t="str">
        <f>"4574674200971919"</f>
        <v>4574674200971919</v>
      </c>
      <c r="F9305" t="str">
        <f>"668"</f>
        <v>668</v>
      </c>
      <c r="G9305">
        <v>1</v>
      </c>
      <c r="H9305">
        <v>2023</v>
      </c>
      <c r="I9305" t="s">
        <v>9420</v>
      </c>
    </row>
    <row r="9306" spans="1:9" x14ac:dyDescent="0.3">
      <c r="A9306" t="s">
        <v>10144</v>
      </c>
      <c r="B9306" t="s">
        <v>89</v>
      </c>
      <c r="C9306">
        <v>9406582649</v>
      </c>
      <c r="D9306" s="2">
        <v>1</v>
      </c>
      <c r="E9306" t="str">
        <f>"4574674200972008"</f>
        <v>4574674200972008</v>
      </c>
      <c r="F9306" t="str">
        <f>"063"</f>
        <v>063</v>
      </c>
      <c r="G9306">
        <v>1</v>
      </c>
      <c r="H9306">
        <v>2023</v>
      </c>
      <c r="I9306" t="s">
        <v>9421</v>
      </c>
    </row>
    <row r="9307" spans="1:9" x14ac:dyDescent="0.3">
      <c r="A9307" t="s">
        <v>10144</v>
      </c>
      <c r="B9307" t="s">
        <v>89</v>
      </c>
      <c r="C9307">
        <v>9406582649</v>
      </c>
      <c r="D9307" s="2">
        <v>1</v>
      </c>
      <c r="E9307" t="str">
        <f>"4574674200971935"</f>
        <v>4574674200971935</v>
      </c>
      <c r="F9307" t="str">
        <f>"730"</f>
        <v>730</v>
      </c>
      <c r="G9307">
        <v>1</v>
      </c>
      <c r="H9307">
        <v>2023</v>
      </c>
      <c r="I9307" t="s">
        <v>9422</v>
      </c>
    </row>
    <row r="9308" spans="1:9" x14ac:dyDescent="0.3">
      <c r="A9308" t="s">
        <v>10144</v>
      </c>
      <c r="B9308" t="s">
        <v>89</v>
      </c>
      <c r="C9308">
        <v>9406582649</v>
      </c>
      <c r="D9308" s="2">
        <v>1</v>
      </c>
      <c r="E9308" t="str">
        <f>"4574674200971943"</f>
        <v>4574674200971943</v>
      </c>
      <c r="F9308" t="str">
        <f>"612"</f>
        <v>612</v>
      </c>
      <c r="G9308">
        <v>1</v>
      </c>
      <c r="H9308">
        <v>2023</v>
      </c>
      <c r="I9308" t="s">
        <v>9423</v>
      </c>
    </row>
    <row r="9309" spans="1:9" x14ac:dyDescent="0.3">
      <c r="A9309" t="s">
        <v>10144</v>
      </c>
      <c r="B9309" t="s">
        <v>89</v>
      </c>
      <c r="C9309">
        <v>9406582649</v>
      </c>
      <c r="D9309" s="2">
        <v>1</v>
      </c>
      <c r="E9309" t="str">
        <f>"4574674200972032"</f>
        <v>4574674200972032</v>
      </c>
      <c r="F9309" t="str">
        <f>"746"</f>
        <v>746</v>
      </c>
      <c r="G9309">
        <v>1</v>
      </c>
      <c r="H9309">
        <v>2023</v>
      </c>
      <c r="I9309" t="s">
        <v>9424</v>
      </c>
    </row>
    <row r="9310" spans="1:9" x14ac:dyDescent="0.3">
      <c r="A9310" t="s">
        <v>10144</v>
      </c>
      <c r="B9310" t="s">
        <v>89</v>
      </c>
      <c r="C9310">
        <v>9406582649</v>
      </c>
      <c r="D9310" s="2">
        <v>1</v>
      </c>
      <c r="E9310" t="str">
        <f>"4574674200972206"</f>
        <v>4574674200972206</v>
      </c>
      <c r="F9310" t="str">
        <f>"859"</f>
        <v>859</v>
      </c>
      <c r="G9310">
        <v>1</v>
      </c>
      <c r="H9310">
        <v>2023</v>
      </c>
      <c r="I9310" t="s">
        <v>9425</v>
      </c>
    </row>
    <row r="9311" spans="1:9" x14ac:dyDescent="0.3">
      <c r="A9311" t="s">
        <v>10144</v>
      </c>
      <c r="B9311" t="s">
        <v>89</v>
      </c>
      <c r="C9311">
        <v>9406582649</v>
      </c>
      <c r="D9311" s="2">
        <v>1</v>
      </c>
      <c r="E9311" t="str">
        <f>"4574674200971984"</f>
        <v>4574674200971984</v>
      </c>
      <c r="F9311" t="str">
        <f>"998"</f>
        <v>998</v>
      </c>
      <c r="G9311">
        <v>1</v>
      </c>
      <c r="H9311">
        <v>2023</v>
      </c>
      <c r="I9311" t="s">
        <v>9426</v>
      </c>
    </row>
    <row r="9312" spans="1:9" x14ac:dyDescent="0.3">
      <c r="A9312" t="s">
        <v>10144</v>
      </c>
      <c r="B9312" t="s">
        <v>89</v>
      </c>
      <c r="C9312">
        <v>9406582649</v>
      </c>
      <c r="D9312" s="2">
        <v>1</v>
      </c>
      <c r="E9312" t="str">
        <f>"4574674200971992"</f>
        <v>4574674200971992</v>
      </c>
      <c r="F9312" t="str">
        <f>"745"</f>
        <v>745</v>
      </c>
      <c r="G9312">
        <v>1</v>
      </c>
      <c r="H9312">
        <v>2023</v>
      </c>
      <c r="I9312" t="s">
        <v>9427</v>
      </c>
    </row>
    <row r="9313" spans="1:9" x14ac:dyDescent="0.3">
      <c r="A9313" t="s">
        <v>10144</v>
      </c>
      <c r="B9313" t="s">
        <v>89</v>
      </c>
      <c r="C9313">
        <v>9406582649</v>
      </c>
      <c r="D9313" s="2">
        <v>1</v>
      </c>
      <c r="E9313" t="str">
        <f>"4574674200972230"</f>
        <v>4574674200972230</v>
      </c>
      <c r="F9313" t="str">
        <f>"646"</f>
        <v>646</v>
      </c>
      <c r="G9313">
        <v>1</v>
      </c>
      <c r="H9313">
        <v>2023</v>
      </c>
      <c r="I9313" t="s">
        <v>9428</v>
      </c>
    </row>
    <row r="9314" spans="1:9" x14ac:dyDescent="0.3">
      <c r="A9314" t="s">
        <v>10144</v>
      </c>
      <c r="B9314" t="s">
        <v>89</v>
      </c>
      <c r="C9314">
        <v>9406582649</v>
      </c>
      <c r="D9314" s="2">
        <v>1</v>
      </c>
      <c r="E9314" t="str">
        <f>"4574674200972248"</f>
        <v>4574674200972248</v>
      </c>
      <c r="F9314" t="str">
        <f>"434"</f>
        <v>434</v>
      </c>
      <c r="G9314">
        <v>1</v>
      </c>
      <c r="H9314">
        <v>2023</v>
      </c>
      <c r="I9314" t="s">
        <v>9429</v>
      </c>
    </row>
    <row r="9315" spans="1:9" x14ac:dyDescent="0.3">
      <c r="A9315" t="s">
        <v>10144</v>
      </c>
      <c r="B9315" t="s">
        <v>89</v>
      </c>
      <c r="C9315">
        <v>9406582649</v>
      </c>
      <c r="D9315" s="2">
        <v>1</v>
      </c>
      <c r="E9315" t="str">
        <f>"4574674200972040"</f>
        <v>4574674200972040</v>
      </c>
      <c r="F9315" t="str">
        <f>"544"</f>
        <v>544</v>
      </c>
      <c r="G9315">
        <v>1</v>
      </c>
      <c r="H9315">
        <v>2023</v>
      </c>
      <c r="I9315" t="s">
        <v>9430</v>
      </c>
    </row>
    <row r="9316" spans="1:9" x14ac:dyDescent="0.3">
      <c r="A9316" t="s">
        <v>10145</v>
      </c>
      <c r="B9316" t="s">
        <v>90</v>
      </c>
      <c r="C9316">
        <v>9406582649</v>
      </c>
      <c r="D9316" s="2">
        <v>1</v>
      </c>
      <c r="E9316" t="str">
        <f>"4574674200972289"</f>
        <v>4574674200972289</v>
      </c>
      <c r="F9316" t="str">
        <f>"147"</f>
        <v>147</v>
      </c>
      <c r="G9316">
        <v>1</v>
      </c>
      <c r="H9316">
        <v>2023</v>
      </c>
      <c r="I9316" t="s">
        <v>9431</v>
      </c>
    </row>
    <row r="9317" spans="1:9" x14ac:dyDescent="0.3">
      <c r="A9317" t="s">
        <v>10145</v>
      </c>
      <c r="B9317" t="s">
        <v>90</v>
      </c>
      <c r="C9317">
        <v>9406582649</v>
      </c>
      <c r="D9317" s="2">
        <v>1</v>
      </c>
      <c r="E9317" t="str">
        <f>"4574674200972271"</f>
        <v>4574674200972271</v>
      </c>
      <c r="F9317" t="str">
        <f>"566"</f>
        <v>566</v>
      </c>
      <c r="G9317">
        <v>1</v>
      </c>
      <c r="H9317">
        <v>2023</v>
      </c>
      <c r="I9317" t="s">
        <v>9432</v>
      </c>
    </row>
    <row r="9318" spans="1:9" x14ac:dyDescent="0.3">
      <c r="A9318" t="s">
        <v>10145</v>
      </c>
      <c r="B9318" t="s">
        <v>90</v>
      </c>
      <c r="C9318">
        <v>9406582649</v>
      </c>
      <c r="D9318" s="2">
        <v>1</v>
      </c>
      <c r="E9318" t="str">
        <f>"4574674200972321"</f>
        <v>4574674200972321</v>
      </c>
      <c r="F9318" t="str">
        <f>"801"</f>
        <v>801</v>
      </c>
      <c r="G9318">
        <v>1</v>
      </c>
      <c r="H9318">
        <v>2023</v>
      </c>
      <c r="I9318" t="s">
        <v>9433</v>
      </c>
    </row>
    <row r="9319" spans="1:9" x14ac:dyDescent="0.3">
      <c r="A9319" t="s">
        <v>10145</v>
      </c>
      <c r="B9319" t="s">
        <v>90</v>
      </c>
      <c r="C9319">
        <v>9406582649</v>
      </c>
      <c r="D9319" s="2">
        <v>1</v>
      </c>
      <c r="E9319" t="str">
        <f>"4574674200972305"</f>
        <v>4574674200972305</v>
      </c>
      <c r="F9319" t="str">
        <f>"107"</f>
        <v>107</v>
      </c>
      <c r="G9319">
        <v>1</v>
      </c>
      <c r="H9319">
        <v>2023</v>
      </c>
      <c r="I9319" t="s">
        <v>9434</v>
      </c>
    </row>
    <row r="9320" spans="1:9" x14ac:dyDescent="0.3">
      <c r="A9320" t="s">
        <v>10145</v>
      </c>
      <c r="B9320" t="s">
        <v>90</v>
      </c>
      <c r="C9320">
        <v>9406582649</v>
      </c>
      <c r="D9320" s="2">
        <v>1</v>
      </c>
      <c r="E9320" t="str">
        <f>"4574674200972339"</f>
        <v>4574674200972339</v>
      </c>
      <c r="F9320" t="str">
        <f>"162"</f>
        <v>162</v>
      </c>
      <c r="G9320">
        <v>1</v>
      </c>
      <c r="H9320">
        <v>2023</v>
      </c>
      <c r="I9320" t="s">
        <v>9435</v>
      </c>
    </row>
    <row r="9321" spans="1:9" x14ac:dyDescent="0.3">
      <c r="A9321" t="s">
        <v>10145</v>
      </c>
      <c r="B9321" t="s">
        <v>90</v>
      </c>
      <c r="C9321">
        <v>9406582649</v>
      </c>
      <c r="D9321" s="2">
        <v>1</v>
      </c>
      <c r="E9321" t="str">
        <f>"4574674200972073"</f>
        <v>4574674200972073</v>
      </c>
      <c r="F9321" t="str">
        <f>"899"</f>
        <v>899</v>
      </c>
      <c r="G9321">
        <v>1</v>
      </c>
      <c r="H9321">
        <v>2023</v>
      </c>
      <c r="I9321" t="s">
        <v>9436</v>
      </c>
    </row>
    <row r="9322" spans="1:9" x14ac:dyDescent="0.3">
      <c r="A9322" t="s">
        <v>10145</v>
      </c>
      <c r="B9322" t="s">
        <v>90</v>
      </c>
      <c r="C9322">
        <v>9406582649</v>
      </c>
      <c r="D9322" s="2">
        <v>1</v>
      </c>
      <c r="E9322" t="str">
        <f>"4574674200972370"</f>
        <v>4574674200972370</v>
      </c>
      <c r="F9322" t="str">
        <f>"134"</f>
        <v>134</v>
      </c>
      <c r="G9322">
        <v>1</v>
      </c>
      <c r="H9322">
        <v>2023</v>
      </c>
      <c r="I9322" t="s">
        <v>9437</v>
      </c>
    </row>
    <row r="9323" spans="1:9" x14ac:dyDescent="0.3">
      <c r="A9323" t="s">
        <v>10145</v>
      </c>
      <c r="B9323" t="s">
        <v>90</v>
      </c>
      <c r="C9323">
        <v>9406582649</v>
      </c>
      <c r="D9323" s="2">
        <v>1</v>
      </c>
      <c r="E9323" t="str">
        <f>"4574674200972404"</f>
        <v>4574674200972404</v>
      </c>
      <c r="F9323" t="str">
        <f>"705"</f>
        <v>705</v>
      </c>
      <c r="G9323">
        <v>1</v>
      </c>
      <c r="H9323">
        <v>2023</v>
      </c>
      <c r="I9323" t="s">
        <v>9438</v>
      </c>
    </row>
    <row r="9324" spans="1:9" x14ac:dyDescent="0.3">
      <c r="A9324" t="s">
        <v>10145</v>
      </c>
      <c r="B9324" t="s">
        <v>90</v>
      </c>
      <c r="C9324">
        <v>9406582649</v>
      </c>
      <c r="D9324" s="2">
        <v>1</v>
      </c>
      <c r="E9324" t="str">
        <f>"4574674200972420"</f>
        <v>4574674200972420</v>
      </c>
      <c r="F9324" t="str">
        <f>"655"</f>
        <v>655</v>
      </c>
      <c r="G9324">
        <v>1</v>
      </c>
      <c r="H9324">
        <v>2023</v>
      </c>
      <c r="I9324" t="s">
        <v>9439</v>
      </c>
    </row>
    <row r="9325" spans="1:9" x14ac:dyDescent="0.3">
      <c r="A9325" t="s">
        <v>10145</v>
      </c>
      <c r="B9325" t="s">
        <v>90</v>
      </c>
      <c r="C9325">
        <v>9406582649</v>
      </c>
      <c r="D9325" s="2">
        <v>1</v>
      </c>
      <c r="E9325" t="str">
        <f>"4574674200972438"</f>
        <v>4574674200972438</v>
      </c>
      <c r="F9325" t="str">
        <f>"557"</f>
        <v>557</v>
      </c>
      <c r="G9325">
        <v>1</v>
      </c>
      <c r="H9325">
        <v>2023</v>
      </c>
      <c r="I9325" t="s">
        <v>9440</v>
      </c>
    </row>
    <row r="9326" spans="1:9" x14ac:dyDescent="0.3">
      <c r="A9326" t="s">
        <v>10146</v>
      </c>
      <c r="B9326" t="s">
        <v>91</v>
      </c>
      <c r="C9326">
        <v>9406582649</v>
      </c>
      <c r="D9326" s="2">
        <v>1</v>
      </c>
      <c r="E9326" t="str">
        <f>"4574674200972446"</f>
        <v>4574674200972446</v>
      </c>
      <c r="F9326" t="str">
        <f>"426"</f>
        <v>426</v>
      </c>
      <c r="G9326">
        <v>1</v>
      </c>
      <c r="H9326">
        <v>2023</v>
      </c>
      <c r="I9326" t="s">
        <v>9441</v>
      </c>
    </row>
    <row r="9327" spans="1:9" x14ac:dyDescent="0.3">
      <c r="A9327" t="s">
        <v>10146</v>
      </c>
      <c r="B9327" t="s">
        <v>91</v>
      </c>
      <c r="C9327">
        <v>9406582649</v>
      </c>
      <c r="D9327" s="2">
        <v>1</v>
      </c>
      <c r="E9327" t="str">
        <f>"4574674200972081"</f>
        <v>4574674200972081</v>
      </c>
      <c r="F9327" t="str">
        <f>"610"</f>
        <v>610</v>
      </c>
      <c r="G9327">
        <v>1</v>
      </c>
      <c r="H9327">
        <v>2023</v>
      </c>
      <c r="I9327" t="s">
        <v>9442</v>
      </c>
    </row>
    <row r="9328" spans="1:9" x14ac:dyDescent="0.3">
      <c r="A9328" t="s">
        <v>10146</v>
      </c>
      <c r="B9328" t="s">
        <v>91</v>
      </c>
      <c r="C9328">
        <v>9406582649</v>
      </c>
      <c r="D9328" s="2">
        <v>1</v>
      </c>
      <c r="E9328" t="str">
        <f>"4574674200972495"</f>
        <v>4574674200972495</v>
      </c>
      <c r="F9328" t="str">
        <f>"930"</f>
        <v>930</v>
      </c>
      <c r="G9328">
        <v>1</v>
      </c>
      <c r="H9328">
        <v>2023</v>
      </c>
      <c r="I9328" t="s">
        <v>9443</v>
      </c>
    </row>
    <row r="9329" spans="1:9" x14ac:dyDescent="0.3">
      <c r="A9329" t="s">
        <v>10146</v>
      </c>
      <c r="B9329" t="s">
        <v>91</v>
      </c>
      <c r="C9329">
        <v>9406582649</v>
      </c>
      <c r="D9329" s="2">
        <v>1</v>
      </c>
      <c r="E9329" t="str">
        <f>"4574674200972511"</f>
        <v>4574674200972511</v>
      </c>
      <c r="F9329" t="str">
        <f>"293"</f>
        <v>293</v>
      </c>
      <c r="G9329">
        <v>1</v>
      </c>
      <c r="H9329">
        <v>2023</v>
      </c>
      <c r="I9329" t="s">
        <v>9444</v>
      </c>
    </row>
    <row r="9330" spans="1:9" x14ac:dyDescent="0.3">
      <c r="A9330" t="s">
        <v>10146</v>
      </c>
      <c r="B9330" t="s">
        <v>91</v>
      </c>
      <c r="C9330">
        <v>9406582649</v>
      </c>
      <c r="D9330" s="2">
        <v>1</v>
      </c>
      <c r="E9330" t="str">
        <f>"4574674200972529"</f>
        <v>4574674200972529</v>
      </c>
      <c r="F9330" t="str">
        <f>"557"</f>
        <v>557</v>
      </c>
      <c r="G9330">
        <v>1</v>
      </c>
      <c r="H9330">
        <v>2023</v>
      </c>
      <c r="I9330" t="s">
        <v>9445</v>
      </c>
    </row>
    <row r="9331" spans="1:9" x14ac:dyDescent="0.3">
      <c r="A9331" t="s">
        <v>10146</v>
      </c>
      <c r="B9331" t="s">
        <v>91</v>
      </c>
      <c r="C9331">
        <v>9406582649</v>
      </c>
      <c r="D9331" s="2">
        <v>1</v>
      </c>
      <c r="E9331" t="str">
        <f>"4574674200972537"</f>
        <v>4574674200972537</v>
      </c>
      <c r="F9331" t="str">
        <f>"704"</f>
        <v>704</v>
      </c>
      <c r="G9331">
        <v>1</v>
      </c>
      <c r="H9331">
        <v>2023</v>
      </c>
      <c r="I9331" t="s">
        <v>9446</v>
      </c>
    </row>
    <row r="9332" spans="1:9" x14ac:dyDescent="0.3">
      <c r="A9332" t="s">
        <v>10146</v>
      </c>
      <c r="B9332" t="s">
        <v>91</v>
      </c>
      <c r="C9332">
        <v>9406582649</v>
      </c>
      <c r="D9332" s="2">
        <v>1</v>
      </c>
      <c r="E9332" t="str">
        <f>"4574674200972545"</f>
        <v>4574674200972545</v>
      </c>
      <c r="F9332" t="str">
        <f>"894"</f>
        <v>894</v>
      </c>
      <c r="G9332">
        <v>1</v>
      </c>
      <c r="H9332">
        <v>2023</v>
      </c>
      <c r="I9332" t="s">
        <v>9447</v>
      </c>
    </row>
    <row r="9333" spans="1:9" x14ac:dyDescent="0.3">
      <c r="A9333" t="s">
        <v>10146</v>
      </c>
      <c r="B9333" t="s">
        <v>91</v>
      </c>
      <c r="C9333">
        <v>9406582649</v>
      </c>
      <c r="D9333" s="2">
        <v>1</v>
      </c>
      <c r="E9333" t="str">
        <f>"4574674200972586"</f>
        <v>4574674200972586</v>
      </c>
      <c r="F9333" t="str">
        <f>"656"</f>
        <v>656</v>
      </c>
      <c r="G9333">
        <v>1</v>
      </c>
      <c r="H9333">
        <v>2023</v>
      </c>
      <c r="I9333" t="s">
        <v>9448</v>
      </c>
    </row>
    <row r="9334" spans="1:9" x14ac:dyDescent="0.3">
      <c r="A9334" t="s">
        <v>10146</v>
      </c>
      <c r="B9334" t="s">
        <v>91</v>
      </c>
      <c r="C9334">
        <v>9406582649</v>
      </c>
      <c r="D9334" s="2">
        <v>1</v>
      </c>
      <c r="E9334" t="str">
        <f>"4574674200972602"</f>
        <v>4574674200972602</v>
      </c>
      <c r="F9334" t="str">
        <f>"836"</f>
        <v>836</v>
      </c>
      <c r="G9334">
        <v>1</v>
      </c>
      <c r="H9334">
        <v>2023</v>
      </c>
      <c r="I9334" t="s">
        <v>9449</v>
      </c>
    </row>
    <row r="9335" spans="1:9" x14ac:dyDescent="0.3">
      <c r="A9335" t="s">
        <v>10146</v>
      </c>
      <c r="B9335" t="s">
        <v>91</v>
      </c>
      <c r="C9335">
        <v>9406582649</v>
      </c>
      <c r="D9335" s="2">
        <v>1</v>
      </c>
      <c r="E9335" t="str">
        <f>"4574674200972628"</f>
        <v>4574674200972628</v>
      </c>
      <c r="F9335" t="str">
        <f>"905"</f>
        <v>905</v>
      </c>
      <c r="G9335">
        <v>1</v>
      </c>
      <c r="H9335">
        <v>2023</v>
      </c>
      <c r="I9335" t="s">
        <v>9450</v>
      </c>
    </row>
    <row r="9336" spans="1:9" x14ac:dyDescent="0.3">
      <c r="A9336" t="s">
        <v>10147</v>
      </c>
      <c r="B9336" t="s">
        <v>92</v>
      </c>
      <c r="C9336">
        <v>9406582649</v>
      </c>
      <c r="D9336" s="2">
        <v>1</v>
      </c>
      <c r="E9336" t="str">
        <f>"4574674200972636"</f>
        <v>4574674200972636</v>
      </c>
      <c r="F9336" t="str">
        <f>"714"</f>
        <v>714</v>
      </c>
      <c r="G9336">
        <v>1</v>
      </c>
      <c r="H9336">
        <v>2023</v>
      </c>
      <c r="I9336" t="s">
        <v>9451</v>
      </c>
    </row>
    <row r="9337" spans="1:9" x14ac:dyDescent="0.3">
      <c r="A9337" t="s">
        <v>10147</v>
      </c>
      <c r="B9337" t="s">
        <v>92</v>
      </c>
      <c r="C9337">
        <v>9406582649</v>
      </c>
      <c r="D9337" s="2">
        <v>1</v>
      </c>
      <c r="E9337" t="str">
        <f>"4574674200972115"</f>
        <v>4574674200972115</v>
      </c>
      <c r="F9337" t="str">
        <f>"130"</f>
        <v>130</v>
      </c>
      <c r="G9337">
        <v>1</v>
      </c>
      <c r="H9337">
        <v>2023</v>
      </c>
      <c r="I9337" t="s">
        <v>9452</v>
      </c>
    </row>
    <row r="9338" spans="1:9" x14ac:dyDescent="0.3">
      <c r="A9338" t="s">
        <v>10147</v>
      </c>
      <c r="B9338" t="s">
        <v>92</v>
      </c>
      <c r="C9338">
        <v>9406582649</v>
      </c>
      <c r="D9338" s="2">
        <v>1</v>
      </c>
      <c r="E9338" t="str">
        <f>"4574674200972651"</f>
        <v>4574674200972651</v>
      </c>
      <c r="F9338" t="str">
        <f>"282"</f>
        <v>282</v>
      </c>
      <c r="G9338">
        <v>1</v>
      </c>
      <c r="H9338">
        <v>2023</v>
      </c>
      <c r="I9338" t="s">
        <v>9453</v>
      </c>
    </row>
    <row r="9339" spans="1:9" x14ac:dyDescent="0.3">
      <c r="A9339" t="s">
        <v>10147</v>
      </c>
      <c r="B9339" t="s">
        <v>92</v>
      </c>
      <c r="C9339">
        <v>9406582649</v>
      </c>
      <c r="D9339" s="2">
        <v>1</v>
      </c>
      <c r="E9339" t="str">
        <f>"4574674200972131"</f>
        <v>4574674200972131</v>
      </c>
      <c r="F9339" t="str">
        <f>"648"</f>
        <v>648</v>
      </c>
      <c r="G9339">
        <v>1</v>
      </c>
      <c r="H9339">
        <v>2023</v>
      </c>
      <c r="I9339" t="s">
        <v>9454</v>
      </c>
    </row>
    <row r="9340" spans="1:9" x14ac:dyDescent="0.3">
      <c r="A9340" t="s">
        <v>10147</v>
      </c>
      <c r="B9340" t="s">
        <v>92</v>
      </c>
      <c r="C9340">
        <v>9406582649</v>
      </c>
      <c r="D9340" s="2">
        <v>1</v>
      </c>
      <c r="E9340" t="str">
        <f>"4574674200972685"</f>
        <v>4574674200972685</v>
      </c>
      <c r="F9340" t="str">
        <f>"797"</f>
        <v>797</v>
      </c>
      <c r="G9340">
        <v>1</v>
      </c>
      <c r="H9340">
        <v>2023</v>
      </c>
      <c r="I9340" t="s">
        <v>9455</v>
      </c>
    </row>
    <row r="9341" spans="1:9" x14ac:dyDescent="0.3">
      <c r="A9341" t="s">
        <v>10147</v>
      </c>
      <c r="B9341" t="s">
        <v>92</v>
      </c>
      <c r="C9341">
        <v>9406582649</v>
      </c>
      <c r="D9341" s="2">
        <v>1</v>
      </c>
      <c r="E9341" t="str">
        <f>"4574674200972719"</f>
        <v>4574674200972719</v>
      </c>
      <c r="F9341" t="str">
        <f>"886"</f>
        <v>886</v>
      </c>
      <c r="G9341">
        <v>1</v>
      </c>
      <c r="H9341">
        <v>2023</v>
      </c>
      <c r="I9341" t="s">
        <v>9456</v>
      </c>
    </row>
    <row r="9342" spans="1:9" x14ac:dyDescent="0.3">
      <c r="A9342" t="s">
        <v>10147</v>
      </c>
      <c r="B9342" t="s">
        <v>92</v>
      </c>
      <c r="C9342">
        <v>9406582649</v>
      </c>
      <c r="D9342" s="2">
        <v>1</v>
      </c>
      <c r="E9342" t="str">
        <f>"4574674200972735"</f>
        <v>4574674200972735</v>
      </c>
      <c r="F9342" t="str">
        <f>"040"</f>
        <v>040</v>
      </c>
      <c r="G9342">
        <v>1</v>
      </c>
      <c r="H9342">
        <v>2023</v>
      </c>
      <c r="I9342" t="s">
        <v>9457</v>
      </c>
    </row>
    <row r="9343" spans="1:9" x14ac:dyDescent="0.3">
      <c r="A9343" t="s">
        <v>10147</v>
      </c>
      <c r="B9343" t="s">
        <v>92</v>
      </c>
      <c r="C9343">
        <v>9406582649</v>
      </c>
      <c r="D9343" s="2">
        <v>1</v>
      </c>
      <c r="E9343" t="str">
        <f>"4574674200972727"</f>
        <v>4574674200972727</v>
      </c>
      <c r="F9343" t="str">
        <f>"966"</f>
        <v>966</v>
      </c>
      <c r="G9343">
        <v>1</v>
      </c>
      <c r="H9343">
        <v>2023</v>
      </c>
      <c r="I9343" t="s">
        <v>9458</v>
      </c>
    </row>
    <row r="9344" spans="1:9" x14ac:dyDescent="0.3">
      <c r="A9344" t="s">
        <v>10147</v>
      </c>
      <c r="B9344" t="s">
        <v>92</v>
      </c>
      <c r="C9344">
        <v>9406582649</v>
      </c>
      <c r="D9344" s="2">
        <v>1</v>
      </c>
      <c r="E9344" t="str">
        <f>"4574674200972750"</f>
        <v>4574674200972750</v>
      </c>
      <c r="F9344" t="str">
        <f>"218"</f>
        <v>218</v>
      </c>
      <c r="G9344">
        <v>1</v>
      </c>
      <c r="H9344">
        <v>2023</v>
      </c>
      <c r="I9344" t="s">
        <v>9459</v>
      </c>
    </row>
    <row r="9345" spans="1:9" x14ac:dyDescent="0.3">
      <c r="A9345" t="s">
        <v>10147</v>
      </c>
      <c r="B9345" t="s">
        <v>92</v>
      </c>
      <c r="C9345">
        <v>9406582649</v>
      </c>
      <c r="D9345" s="2">
        <v>1</v>
      </c>
      <c r="E9345" t="str">
        <f>"4574674200972156"</f>
        <v>4574674200972156</v>
      </c>
      <c r="F9345" t="str">
        <f>"364"</f>
        <v>364</v>
      </c>
      <c r="G9345">
        <v>1</v>
      </c>
      <c r="H9345">
        <v>2023</v>
      </c>
      <c r="I9345" t="s">
        <v>9460</v>
      </c>
    </row>
    <row r="9346" spans="1:9" x14ac:dyDescent="0.3">
      <c r="A9346" t="s">
        <v>10148</v>
      </c>
      <c r="B9346" t="s">
        <v>93</v>
      </c>
      <c r="C9346">
        <v>9406582649</v>
      </c>
      <c r="D9346" s="2">
        <v>1</v>
      </c>
      <c r="E9346" t="str">
        <f>"4574674200972792"</f>
        <v>4574674200972792</v>
      </c>
      <c r="F9346" t="str">
        <f>"074"</f>
        <v>074</v>
      </c>
      <c r="G9346">
        <v>1</v>
      </c>
      <c r="H9346">
        <v>2023</v>
      </c>
      <c r="I9346" t="s">
        <v>9461</v>
      </c>
    </row>
    <row r="9347" spans="1:9" x14ac:dyDescent="0.3">
      <c r="A9347" t="s">
        <v>10148</v>
      </c>
      <c r="B9347" t="s">
        <v>93</v>
      </c>
      <c r="C9347">
        <v>9406582649</v>
      </c>
      <c r="D9347" s="2">
        <v>1</v>
      </c>
      <c r="E9347" t="str">
        <f>"4574674200972818"</f>
        <v>4574674200972818</v>
      </c>
      <c r="F9347" t="str">
        <f>"492"</f>
        <v>492</v>
      </c>
      <c r="G9347">
        <v>1</v>
      </c>
      <c r="H9347">
        <v>2023</v>
      </c>
      <c r="I9347" t="s">
        <v>9462</v>
      </c>
    </row>
    <row r="9348" spans="1:9" x14ac:dyDescent="0.3">
      <c r="A9348" t="s">
        <v>10148</v>
      </c>
      <c r="B9348" t="s">
        <v>93</v>
      </c>
      <c r="C9348">
        <v>9406582649</v>
      </c>
      <c r="D9348" s="2">
        <v>1</v>
      </c>
      <c r="E9348" t="str">
        <f>"4574674200972834"</f>
        <v>4574674200972834</v>
      </c>
      <c r="F9348" t="str">
        <f>"962"</f>
        <v>962</v>
      </c>
      <c r="G9348">
        <v>1</v>
      </c>
      <c r="H9348">
        <v>2023</v>
      </c>
      <c r="I9348" t="s">
        <v>9463</v>
      </c>
    </row>
    <row r="9349" spans="1:9" x14ac:dyDescent="0.3">
      <c r="A9349" t="s">
        <v>10148</v>
      </c>
      <c r="B9349" t="s">
        <v>93</v>
      </c>
      <c r="C9349">
        <v>9406582649</v>
      </c>
      <c r="D9349" s="2">
        <v>1</v>
      </c>
      <c r="E9349" t="str">
        <f>"4574674200972826"</f>
        <v>4574674200972826</v>
      </c>
      <c r="F9349" t="str">
        <f>"139"</f>
        <v>139</v>
      </c>
      <c r="G9349">
        <v>1</v>
      </c>
      <c r="H9349">
        <v>2023</v>
      </c>
      <c r="I9349" t="s">
        <v>9464</v>
      </c>
    </row>
    <row r="9350" spans="1:9" x14ac:dyDescent="0.3">
      <c r="A9350" t="s">
        <v>10148</v>
      </c>
      <c r="B9350" t="s">
        <v>93</v>
      </c>
      <c r="C9350">
        <v>9406582649</v>
      </c>
      <c r="D9350" s="2">
        <v>1</v>
      </c>
      <c r="E9350" t="str">
        <f>"4574674200972164"</f>
        <v>4574674200972164</v>
      </c>
      <c r="F9350" t="str">
        <f>"245"</f>
        <v>245</v>
      </c>
      <c r="G9350">
        <v>1</v>
      </c>
      <c r="H9350">
        <v>2023</v>
      </c>
      <c r="I9350" t="s">
        <v>9465</v>
      </c>
    </row>
    <row r="9351" spans="1:9" x14ac:dyDescent="0.3">
      <c r="A9351" t="s">
        <v>10148</v>
      </c>
      <c r="B9351" t="s">
        <v>93</v>
      </c>
      <c r="C9351">
        <v>9406582649</v>
      </c>
      <c r="D9351" s="2">
        <v>1</v>
      </c>
      <c r="E9351" t="str">
        <f>"4574674200972859"</f>
        <v>4574674200972859</v>
      </c>
      <c r="F9351" t="str">
        <f>"012"</f>
        <v>012</v>
      </c>
      <c r="G9351">
        <v>1</v>
      </c>
      <c r="H9351">
        <v>2023</v>
      </c>
      <c r="I9351" t="s">
        <v>9466</v>
      </c>
    </row>
    <row r="9352" spans="1:9" x14ac:dyDescent="0.3">
      <c r="A9352" t="s">
        <v>10148</v>
      </c>
      <c r="B9352" t="s">
        <v>93</v>
      </c>
      <c r="C9352">
        <v>9406582649</v>
      </c>
      <c r="D9352" s="2">
        <v>1</v>
      </c>
      <c r="E9352" t="str">
        <f>"4574674200972909"</f>
        <v>4574674200972909</v>
      </c>
      <c r="F9352" t="str">
        <f>"101"</f>
        <v>101</v>
      </c>
      <c r="G9352">
        <v>1</v>
      </c>
      <c r="H9352">
        <v>2023</v>
      </c>
      <c r="I9352" t="s">
        <v>9467</v>
      </c>
    </row>
    <row r="9353" spans="1:9" x14ac:dyDescent="0.3">
      <c r="A9353" t="s">
        <v>10148</v>
      </c>
      <c r="B9353" t="s">
        <v>93</v>
      </c>
      <c r="C9353">
        <v>9406582649</v>
      </c>
      <c r="D9353" s="2">
        <v>1</v>
      </c>
      <c r="E9353" t="str">
        <f>"4574674200972917"</f>
        <v>4574674200972917</v>
      </c>
      <c r="F9353" t="str">
        <f>"680"</f>
        <v>680</v>
      </c>
      <c r="G9353">
        <v>1</v>
      </c>
      <c r="H9353">
        <v>2023</v>
      </c>
      <c r="I9353" t="s">
        <v>9468</v>
      </c>
    </row>
    <row r="9354" spans="1:9" x14ac:dyDescent="0.3">
      <c r="A9354" t="s">
        <v>10148</v>
      </c>
      <c r="B9354" t="s">
        <v>93</v>
      </c>
      <c r="C9354">
        <v>9406582649</v>
      </c>
      <c r="D9354" s="2">
        <v>1</v>
      </c>
      <c r="E9354" t="str">
        <f>"4574674200972925"</f>
        <v>4574674200972925</v>
      </c>
      <c r="F9354" t="str">
        <f>"758"</f>
        <v>758</v>
      </c>
      <c r="G9354">
        <v>1</v>
      </c>
      <c r="H9354">
        <v>2023</v>
      </c>
      <c r="I9354" t="s">
        <v>9469</v>
      </c>
    </row>
    <row r="9355" spans="1:9" x14ac:dyDescent="0.3">
      <c r="A9355" t="s">
        <v>10148</v>
      </c>
      <c r="B9355" t="s">
        <v>93</v>
      </c>
      <c r="C9355">
        <v>9406582649</v>
      </c>
      <c r="D9355" s="2">
        <v>1</v>
      </c>
      <c r="E9355" t="str">
        <f>"4574674200972933"</f>
        <v>4574674200972933</v>
      </c>
      <c r="F9355" t="str">
        <f>"023"</f>
        <v>023</v>
      </c>
      <c r="G9355">
        <v>1</v>
      </c>
      <c r="H9355">
        <v>2023</v>
      </c>
      <c r="I9355" t="s">
        <v>9470</v>
      </c>
    </row>
    <row r="9356" spans="1:9" x14ac:dyDescent="0.3">
      <c r="A9356" t="s">
        <v>10149</v>
      </c>
      <c r="B9356" t="s">
        <v>94</v>
      </c>
      <c r="C9356">
        <v>9406582649</v>
      </c>
      <c r="D9356" s="2">
        <v>1</v>
      </c>
      <c r="E9356" t="str">
        <f>"4574674200972198"</f>
        <v>4574674200972198</v>
      </c>
      <c r="F9356" t="str">
        <f>"149"</f>
        <v>149</v>
      </c>
      <c r="G9356">
        <v>1</v>
      </c>
      <c r="H9356">
        <v>2023</v>
      </c>
      <c r="I9356" t="s">
        <v>9471</v>
      </c>
    </row>
    <row r="9357" spans="1:9" x14ac:dyDescent="0.3">
      <c r="A9357" t="s">
        <v>10149</v>
      </c>
      <c r="B9357" t="s">
        <v>94</v>
      </c>
      <c r="C9357">
        <v>9406582649</v>
      </c>
      <c r="D9357" s="2">
        <v>1</v>
      </c>
      <c r="E9357" t="str">
        <f>"4574674200972958"</f>
        <v>4574674200972958</v>
      </c>
      <c r="F9357" t="str">
        <f>"591"</f>
        <v>591</v>
      </c>
      <c r="G9357">
        <v>1</v>
      </c>
      <c r="H9357">
        <v>2023</v>
      </c>
      <c r="I9357" t="s">
        <v>9472</v>
      </c>
    </row>
    <row r="9358" spans="1:9" x14ac:dyDescent="0.3">
      <c r="A9358" t="s">
        <v>10149</v>
      </c>
      <c r="B9358" t="s">
        <v>94</v>
      </c>
      <c r="C9358">
        <v>9406582649</v>
      </c>
      <c r="D9358" s="2">
        <v>1</v>
      </c>
      <c r="E9358" t="str">
        <f>"4574674200973014"</f>
        <v>4574674200973014</v>
      </c>
      <c r="F9358" t="str">
        <f>"209"</f>
        <v>209</v>
      </c>
      <c r="G9358">
        <v>1</v>
      </c>
      <c r="H9358">
        <v>2023</v>
      </c>
      <c r="I9358" t="s">
        <v>9473</v>
      </c>
    </row>
    <row r="9359" spans="1:9" x14ac:dyDescent="0.3">
      <c r="A9359" t="s">
        <v>10149</v>
      </c>
      <c r="B9359" t="s">
        <v>94</v>
      </c>
      <c r="C9359">
        <v>9406582649</v>
      </c>
      <c r="D9359" s="2">
        <v>1</v>
      </c>
      <c r="E9359" t="str">
        <f>"4574674200972990"</f>
        <v>4574674200972990</v>
      </c>
      <c r="F9359" t="str">
        <f>"242"</f>
        <v>242</v>
      </c>
      <c r="G9359">
        <v>1</v>
      </c>
      <c r="H9359">
        <v>2023</v>
      </c>
      <c r="I9359" t="s">
        <v>9474</v>
      </c>
    </row>
    <row r="9360" spans="1:9" x14ac:dyDescent="0.3">
      <c r="A9360" t="s">
        <v>10149</v>
      </c>
      <c r="B9360" t="s">
        <v>94</v>
      </c>
      <c r="C9360">
        <v>9406582649</v>
      </c>
      <c r="D9360" s="2">
        <v>1</v>
      </c>
      <c r="E9360" t="str">
        <f>"4574674200973204"</f>
        <v>4574674200973204</v>
      </c>
      <c r="F9360" t="str">
        <f>"431"</f>
        <v>431</v>
      </c>
      <c r="G9360">
        <v>1</v>
      </c>
      <c r="H9360">
        <v>2023</v>
      </c>
      <c r="I9360" t="s">
        <v>9475</v>
      </c>
    </row>
    <row r="9361" spans="1:9" x14ac:dyDescent="0.3">
      <c r="A9361" t="s">
        <v>10149</v>
      </c>
      <c r="B9361" t="s">
        <v>94</v>
      </c>
      <c r="C9361">
        <v>9406582649</v>
      </c>
      <c r="D9361" s="2">
        <v>1</v>
      </c>
      <c r="E9361" t="str">
        <f>"4574674200973220"</f>
        <v>4574674200973220</v>
      </c>
      <c r="F9361" t="str">
        <f>"731"</f>
        <v>731</v>
      </c>
      <c r="G9361">
        <v>1</v>
      </c>
      <c r="H9361">
        <v>2023</v>
      </c>
      <c r="I9361" t="s">
        <v>9476</v>
      </c>
    </row>
    <row r="9362" spans="1:9" x14ac:dyDescent="0.3">
      <c r="A9362" t="s">
        <v>10149</v>
      </c>
      <c r="B9362" t="s">
        <v>94</v>
      </c>
      <c r="C9362">
        <v>9406582649</v>
      </c>
      <c r="D9362" s="2">
        <v>1</v>
      </c>
      <c r="E9362" t="str">
        <f>"4574674200973238"</f>
        <v>4574674200973238</v>
      </c>
      <c r="F9362" t="str">
        <f>"361"</f>
        <v>361</v>
      </c>
      <c r="G9362">
        <v>1</v>
      </c>
      <c r="H9362">
        <v>2023</v>
      </c>
      <c r="I9362" t="s">
        <v>9477</v>
      </c>
    </row>
    <row r="9363" spans="1:9" x14ac:dyDescent="0.3">
      <c r="A9363" t="s">
        <v>10149</v>
      </c>
      <c r="B9363" t="s">
        <v>94</v>
      </c>
      <c r="C9363">
        <v>9406582649</v>
      </c>
      <c r="D9363" s="2">
        <v>1</v>
      </c>
      <c r="E9363" t="str">
        <f>"4574674200973246"</f>
        <v>4574674200973246</v>
      </c>
      <c r="F9363" t="str">
        <f>"420"</f>
        <v>420</v>
      </c>
      <c r="G9363">
        <v>1</v>
      </c>
      <c r="H9363">
        <v>2023</v>
      </c>
      <c r="I9363" t="s">
        <v>9478</v>
      </c>
    </row>
    <row r="9364" spans="1:9" x14ac:dyDescent="0.3">
      <c r="A9364" t="s">
        <v>10149</v>
      </c>
      <c r="B9364" t="s">
        <v>94</v>
      </c>
      <c r="C9364">
        <v>9406582649</v>
      </c>
      <c r="D9364" s="2">
        <v>1</v>
      </c>
      <c r="E9364" t="str">
        <f>"4574674200973287"</f>
        <v>4574674200973287</v>
      </c>
      <c r="F9364" t="str">
        <f>"956"</f>
        <v>956</v>
      </c>
      <c r="G9364">
        <v>1</v>
      </c>
      <c r="H9364">
        <v>2023</v>
      </c>
      <c r="I9364" t="s">
        <v>9479</v>
      </c>
    </row>
    <row r="9365" spans="1:9" x14ac:dyDescent="0.3">
      <c r="A9365" t="s">
        <v>10149</v>
      </c>
      <c r="B9365" t="s">
        <v>94</v>
      </c>
      <c r="C9365">
        <v>9406582649</v>
      </c>
      <c r="D9365" s="2">
        <v>1</v>
      </c>
      <c r="E9365" t="str">
        <f>"4574674200973295"</f>
        <v>4574674200973295</v>
      </c>
      <c r="F9365" t="str">
        <f>"995"</f>
        <v>995</v>
      </c>
      <c r="G9365">
        <v>1</v>
      </c>
      <c r="H9365">
        <v>2023</v>
      </c>
      <c r="I9365" t="s">
        <v>9480</v>
      </c>
    </row>
    <row r="9366" spans="1:9" x14ac:dyDescent="0.3">
      <c r="A9366" t="s">
        <v>10118</v>
      </c>
      <c r="B9366" t="s">
        <v>95</v>
      </c>
      <c r="C9366">
        <v>9406582649</v>
      </c>
      <c r="D9366" s="2">
        <v>1</v>
      </c>
      <c r="E9366" t="str">
        <f>"4574674200973311"</f>
        <v>4574674200973311</v>
      </c>
      <c r="F9366" t="str">
        <f>"762"</f>
        <v>762</v>
      </c>
      <c r="G9366">
        <v>1</v>
      </c>
      <c r="H9366">
        <v>2023</v>
      </c>
      <c r="I9366" t="s">
        <v>9481</v>
      </c>
    </row>
    <row r="9367" spans="1:9" x14ac:dyDescent="0.3">
      <c r="A9367" t="s">
        <v>10118</v>
      </c>
      <c r="B9367" t="s">
        <v>95</v>
      </c>
      <c r="C9367">
        <v>9406582649</v>
      </c>
      <c r="D9367" s="2">
        <v>1</v>
      </c>
      <c r="E9367" t="str">
        <f>"4574674200973030"</f>
        <v>4574674200973030</v>
      </c>
      <c r="F9367" t="str">
        <f>"870"</f>
        <v>870</v>
      </c>
      <c r="G9367">
        <v>1</v>
      </c>
      <c r="H9367">
        <v>2023</v>
      </c>
      <c r="I9367" t="s">
        <v>9482</v>
      </c>
    </row>
    <row r="9368" spans="1:9" x14ac:dyDescent="0.3">
      <c r="A9368" t="s">
        <v>10118</v>
      </c>
      <c r="B9368" t="s">
        <v>95</v>
      </c>
      <c r="C9368">
        <v>9406582649</v>
      </c>
      <c r="D9368" s="2">
        <v>1</v>
      </c>
      <c r="E9368" t="str">
        <f>"4574674200973337"</f>
        <v>4574674200973337</v>
      </c>
      <c r="F9368" t="str">
        <f>"711"</f>
        <v>711</v>
      </c>
      <c r="G9368">
        <v>1</v>
      </c>
      <c r="H9368">
        <v>2023</v>
      </c>
      <c r="I9368" t="s">
        <v>9483</v>
      </c>
    </row>
    <row r="9369" spans="1:9" x14ac:dyDescent="0.3">
      <c r="A9369" t="s">
        <v>10118</v>
      </c>
      <c r="B9369" t="s">
        <v>95</v>
      </c>
      <c r="C9369">
        <v>9406582649</v>
      </c>
      <c r="D9369" s="2">
        <v>1</v>
      </c>
      <c r="E9369" t="str">
        <f>"4574674200973048"</f>
        <v>4574674200973048</v>
      </c>
      <c r="F9369" t="str">
        <f>"566"</f>
        <v>566</v>
      </c>
      <c r="G9369">
        <v>1</v>
      </c>
      <c r="H9369">
        <v>2023</v>
      </c>
      <c r="I9369" t="s">
        <v>9484</v>
      </c>
    </row>
    <row r="9370" spans="1:9" x14ac:dyDescent="0.3">
      <c r="A9370" t="s">
        <v>10118</v>
      </c>
      <c r="B9370" t="s">
        <v>95</v>
      </c>
      <c r="C9370">
        <v>9406582649</v>
      </c>
      <c r="D9370" s="2">
        <v>1</v>
      </c>
      <c r="E9370" t="str">
        <f>"4574674200973345"</f>
        <v>4574674200973345</v>
      </c>
      <c r="F9370" t="str">
        <f>"194"</f>
        <v>194</v>
      </c>
      <c r="G9370">
        <v>1</v>
      </c>
      <c r="H9370">
        <v>2023</v>
      </c>
      <c r="I9370" t="s">
        <v>9485</v>
      </c>
    </row>
    <row r="9371" spans="1:9" x14ac:dyDescent="0.3">
      <c r="A9371" t="s">
        <v>10118</v>
      </c>
      <c r="B9371" t="s">
        <v>95</v>
      </c>
      <c r="C9371">
        <v>9406582649</v>
      </c>
      <c r="D9371" s="2">
        <v>1</v>
      </c>
      <c r="E9371" t="str">
        <f>"4574674200973394"</f>
        <v>4574674200973394</v>
      </c>
      <c r="F9371" t="str">
        <f>"772"</f>
        <v>772</v>
      </c>
      <c r="G9371">
        <v>1</v>
      </c>
      <c r="H9371">
        <v>2023</v>
      </c>
      <c r="I9371" t="s">
        <v>9486</v>
      </c>
    </row>
    <row r="9372" spans="1:9" x14ac:dyDescent="0.3">
      <c r="A9372" t="s">
        <v>10118</v>
      </c>
      <c r="B9372" t="s">
        <v>95</v>
      </c>
      <c r="C9372">
        <v>9406582649</v>
      </c>
      <c r="D9372" s="2">
        <v>1</v>
      </c>
      <c r="E9372" t="str">
        <f>"4574674200973410"</f>
        <v>4574674200973410</v>
      </c>
      <c r="F9372" t="str">
        <f>"760"</f>
        <v>760</v>
      </c>
      <c r="G9372">
        <v>1</v>
      </c>
      <c r="H9372">
        <v>2023</v>
      </c>
      <c r="I9372" t="s">
        <v>9487</v>
      </c>
    </row>
    <row r="9373" spans="1:9" x14ac:dyDescent="0.3">
      <c r="A9373" t="s">
        <v>10118</v>
      </c>
      <c r="B9373" t="s">
        <v>95</v>
      </c>
      <c r="C9373">
        <v>9406582649</v>
      </c>
      <c r="D9373" s="2">
        <v>1</v>
      </c>
      <c r="E9373" t="str">
        <f>"4574674200973428"</f>
        <v>4574674200973428</v>
      </c>
      <c r="F9373" t="str">
        <f>"369"</f>
        <v>369</v>
      </c>
      <c r="G9373">
        <v>1</v>
      </c>
      <c r="H9373">
        <v>2023</v>
      </c>
      <c r="I9373" t="s">
        <v>9488</v>
      </c>
    </row>
    <row r="9374" spans="1:9" x14ac:dyDescent="0.3">
      <c r="A9374" t="s">
        <v>10118</v>
      </c>
      <c r="B9374" t="s">
        <v>95</v>
      </c>
      <c r="C9374">
        <v>9406582649</v>
      </c>
      <c r="D9374" s="2">
        <v>1</v>
      </c>
      <c r="E9374" t="str">
        <f>"4574674200973436"</f>
        <v>4574674200973436</v>
      </c>
      <c r="F9374" t="str">
        <f>"750"</f>
        <v>750</v>
      </c>
      <c r="G9374">
        <v>1</v>
      </c>
      <c r="H9374">
        <v>2023</v>
      </c>
      <c r="I9374" t="s">
        <v>9489</v>
      </c>
    </row>
    <row r="9375" spans="1:9" x14ac:dyDescent="0.3">
      <c r="A9375" t="s">
        <v>10118</v>
      </c>
      <c r="B9375" t="s">
        <v>95</v>
      </c>
      <c r="C9375">
        <v>9406582649</v>
      </c>
      <c r="D9375" s="2">
        <v>1</v>
      </c>
      <c r="E9375" t="str">
        <f>"4574674200973451"</f>
        <v>4574674200973451</v>
      </c>
      <c r="F9375" t="str">
        <f>"363"</f>
        <v>363</v>
      </c>
      <c r="G9375">
        <v>1</v>
      </c>
      <c r="H9375">
        <v>2023</v>
      </c>
      <c r="I9375" t="s">
        <v>9490</v>
      </c>
    </row>
    <row r="9376" spans="1:9" x14ac:dyDescent="0.3">
      <c r="A9376" t="s">
        <v>10119</v>
      </c>
      <c r="B9376" t="s">
        <v>96</v>
      </c>
      <c r="C9376">
        <v>9406582649</v>
      </c>
      <c r="D9376" s="2">
        <v>1</v>
      </c>
      <c r="E9376" t="str">
        <f>"4574674200973493"</f>
        <v>4574674200973493</v>
      </c>
      <c r="F9376" t="str">
        <f>"855"</f>
        <v>855</v>
      </c>
      <c r="G9376">
        <v>1</v>
      </c>
      <c r="H9376">
        <v>2023</v>
      </c>
      <c r="I9376" t="s">
        <v>9491</v>
      </c>
    </row>
    <row r="9377" spans="1:9" x14ac:dyDescent="0.3">
      <c r="A9377" t="s">
        <v>10119</v>
      </c>
      <c r="B9377" t="s">
        <v>96</v>
      </c>
      <c r="C9377">
        <v>9406582649</v>
      </c>
      <c r="D9377" s="2">
        <v>1</v>
      </c>
      <c r="E9377" t="str">
        <f>"4574674200973485"</f>
        <v>4574674200973485</v>
      </c>
      <c r="F9377" t="str">
        <f>"301"</f>
        <v>301</v>
      </c>
      <c r="G9377">
        <v>1</v>
      </c>
      <c r="H9377">
        <v>2023</v>
      </c>
      <c r="I9377" t="s">
        <v>9492</v>
      </c>
    </row>
    <row r="9378" spans="1:9" x14ac:dyDescent="0.3">
      <c r="A9378" t="s">
        <v>10119</v>
      </c>
      <c r="B9378" t="s">
        <v>96</v>
      </c>
      <c r="C9378">
        <v>9406582649</v>
      </c>
      <c r="D9378" s="2">
        <v>1</v>
      </c>
      <c r="E9378" t="str">
        <f>"4574674200973519"</f>
        <v>4574674200973519</v>
      </c>
      <c r="F9378" t="str">
        <f>"335"</f>
        <v>335</v>
      </c>
      <c r="G9378">
        <v>1</v>
      </c>
      <c r="H9378">
        <v>2023</v>
      </c>
      <c r="I9378" t="s">
        <v>9493</v>
      </c>
    </row>
    <row r="9379" spans="1:9" x14ac:dyDescent="0.3">
      <c r="A9379" t="s">
        <v>10119</v>
      </c>
      <c r="B9379" t="s">
        <v>96</v>
      </c>
      <c r="C9379">
        <v>9406582649</v>
      </c>
      <c r="D9379" s="2">
        <v>1</v>
      </c>
      <c r="E9379" t="str">
        <f>"4574674200973535"</f>
        <v>4574674200973535</v>
      </c>
      <c r="F9379" t="str">
        <f>"159"</f>
        <v>159</v>
      </c>
      <c r="G9379">
        <v>1</v>
      </c>
      <c r="H9379">
        <v>2023</v>
      </c>
      <c r="I9379" t="s">
        <v>9494</v>
      </c>
    </row>
    <row r="9380" spans="1:9" x14ac:dyDescent="0.3">
      <c r="A9380" t="s">
        <v>10119</v>
      </c>
      <c r="B9380" t="s">
        <v>96</v>
      </c>
      <c r="C9380">
        <v>9406582649</v>
      </c>
      <c r="D9380" s="2">
        <v>1</v>
      </c>
      <c r="E9380" t="str">
        <f>"4574674200973089"</f>
        <v>4574674200973089</v>
      </c>
      <c r="F9380" t="str">
        <f>"653"</f>
        <v>653</v>
      </c>
      <c r="G9380">
        <v>1</v>
      </c>
      <c r="H9380">
        <v>2023</v>
      </c>
      <c r="I9380" t="s">
        <v>9495</v>
      </c>
    </row>
    <row r="9381" spans="1:9" x14ac:dyDescent="0.3">
      <c r="A9381" t="s">
        <v>10119</v>
      </c>
      <c r="B9381" t="s">
        <v>96</v>
      </c>
      <c r="C9381">
        <v>9406582649</v>
      </c>
      <c r="D9381" s="2">
        <v>1</v>
      </c>
      <c r="E9381" t="str">
        <f>"4574674200973568"</f>
        <v>4574674200973568</v>
      </c>
      <c r="F9381" t="str">
        <f>"521"</f>
        <v>521</v>
      </c>
      <c r="G9381">
        <v>1</v>
      </c>
      <c r="H9381">
        <v>2023</v>
      </c>
      <c r="I9381" t="s">
        <v>9496</v>
      </c>
    </row>
    <row r="9382" spans="1:9" x14ac:dyDescent="0.3">
      <c r="A9382" t="s">
        <v>10119</v>
      </c>
      <c r="B9382" t="s">
        <v>96</v>
      </c>
      <c r="C9382">
        <v>9406582649</v>
      </c>
      <c r="D9382" s="2">
        <v>1</v>
      </c>
      <c r="E9382" t="str">
        <f>"4574674200973097"</f>
        <v>4574674200973097</v>
      </c>
      <c r="F9382" t="str">
        <f>"866"</f>
        <v>866</v>
      </c>
      <c r="G9382">
        <v>1</v>
      </c>
      <c r="H9382">
        <v>2023</v>
      </c>
      <c r="I9382" t="s">
        <v>9497</v>
      </c>
    </row>
    <row r="9383" spans="1:9" x14ac:dyDescent="0.3">
      <c r="A9383" t="s">
        <v>10119</v>
      </c>
      <c r="B9383" t="s">
        <v>96</v>
      </c>
      <c r="C9383">
        <v>9406582649</v>
      </c>
      <c r="D9383" s="2">
        <v>1</v>
      </c>
      <c r="E9383" t="str">
        <f>"4574674200973592"</f>
        <v>4574674200973592</v>
      </c>
      <c r="F9383" t="str">
        <f>"137"</f>
        <v>137</v>
      </c>
      <c r="G9383">
        <v>1</v>
      </c>
      <c r="H9383">
        <v>2023</v>
      </c>
      <c r="I9383" t="s">
        <v>9498</v>
      </c>
    </row>
    <row r="9384" spans="1:9" x14ac:dyDescent="0.3">
      <c r="A9384" t="s">
        <v>10119</v>
      </c>
      <c r="B9384" t="s">
        <v>96</v>
      </c>
      <c r="C9384">
        <v>9406582649</v>
      </c>
      <c r="D9384" s="2">
        <v>1</v>
      </c>
      <c r="E9384" t="str">
        <f>"4574674200973618"</f>
        <v>4574674200973618</v>
      </c>
      <c r="F9384" t="str">
        <f>"451"</f>
        <v>451</v>
      </c>
      <c r="G9384">
        <v>1</v>
      </c>
      <c r="H9384">
        <v>2023</v>
      </c>
      <c r="I9384" t="s">
        <v>9499</v>
      </c>
    </row>
    <row r="9385" spans="1:9" x14ac:dyDescent="0.3">
      <c r="A9385" t="s">
        <v>10119</v>
      </c>
      <c r="B9385" t="s">
        <v>96</v>
      </c>
      <c r="C9385">
        <v>9406582649</v>
      </c>
      <c r="D9385" s="2">
        <v>1</v>
      </c>
      <c r="E9385" t="str">
        <f>"4574674200973626"</f>
        <v>4574674200973626</v>
      </c>
      <c r="F9385" t="str">
        <f>"296"</f>
        <v>296</v>
      </c>
      <c r="G9385">
        <v>1</v>
      </c>
      <c r="H9385">
        <v>2023</v>
      </c>
      <c r="I9385" t="s">
        <v>9500</v>
      </c>
    </row>
    <row r="9386" spans="1:9" x14ac:dyDescent="0.3">
      <c r="A9386" t="s">
        <v>10120</v>
      </c>
      <c r="B9386" t="s">
        <v>97</v>
      </c>
      <c r="C9386">
        <v>9406582649</v>
      </c>
      <c r="D9386" s="2">
        <v>1</v>
      </c>
      <c r="E9386" t="str">
        <f>"4574674200973634"</f>
        <v>4574674200973634</v>
      </c>
      <c r="F9386" t="str">
        <f>"859"</f>
        <v>859</v>
      </c>
      <c r="G9386">
        <v>1</v>
      </c>
      <c r="H9386">
        <v>2023</v>
      </c>
      <c r="I9386" t="s">
        <v>9501</v>
      </c>
    </row>
    <row r="9387" spans="1:9" x14ac:dyDescent="0.3">
      <c r="A9387" t="s">
        <v>10120</v>
      </c>
      <c r="B9387" t="s">
        <v>97</v>
      </c>
      <c r="C9387">
        <v>9406582649</v>
      </c>
      <c r="D9387" s="2">
        <v>1</v>
      </c>
      <c r="E9387" t="str">
        <f>"4574674200973683"</f>
        <v>4574674200973683</v>
      </c>
      <c r="F9387" t="str">
        <f>"306"</f>
        <v>306</v>
      </c>
      <c r="G9387">
        <v>1</v>
      </c>
      <c r="H9387">
        <v>2023</v>
      </c>
      <c r="I9387" t="s">
        <v>9502</v>
      </c>
    </row>
    <row r="9388" spans="1:9" x14ac:dyDescent="0.3">
      <c r="A9388" t="s">
        <v>10120</v>
      </c>
      <c r="B9388" t="s">
        <v>97</v>
      </c>
      <c r="C9388">
        <v>9406582649</v>
      </c>
      <c r="D9388" s="2">
        <v>1</v>
      </c>
      <c r="E9388" t="str">
        <f>"4574674200973691"</f>
        <v>4574674200973691</v>
      </c>
      <c r="F9388" t="str">
        <f>"635"</f>
        <v>635</v>
      </c>
      <c r="G9388">
        <v>1</v>
      </c>
      <c r="H9388">
        <v>2023</v>
      </c>
      <c r="I9388" t="s">
        <v>9503</v>
      </c>
    </row>
    <row r="9389" spans="1:9" x14ac:dyDescent="0.3">
      <c r="A9389" t="s">
        <v>10120</v>
      </c>
      <c r="B9389" t="s">
        <v>97</v>
      </c>
      <c r="C9389">
        <v>9406582649</v>
      </c>
      <c r="D9389" s="2">
        <v>1</v>
      </c>
      <c r="E9389" t="str">
        <f>"4574674200973717"</f>
        <v>4574674200973717</v>
      </c>
      <c r="F9389" t="str">
        <f>"265"</f>
        <v>265</v>
      </c>
      <c r="G9389">
        <v>1</v>
      </c>
      <c r="H9389">
        <v>2023</v>
      </c>
      <c r="I9389" t="s">
        <v>9504</v>
      </c>
    </row>
    <row r="9390" spans="1:9" x14ac:dyDescent="0.3">
      <c r="A9390" t="s">
        <v>10120</v>
      </c>
      <c r="B9390" t="s">
        <v>97</v>
      </c>
      <c r="C9390">
        <v>9406582649</v>
      </c>
      <c r="D9390" s="2">
        <v>1</v>
      </c>
      <c r="E9390" t="str">
        <f>"4574674200973725"</f>
        <v>4574674200973725</v>
      </c>
      <c r="F9390" t="str">
        <f>"152"</f>
        <v>152</v>
      </c>
      <c r="G9390">
        <v>1</v>
      </c>
      <c r="H9390">
        <v>2023</v>
      </c>
      <c r="I9390" t="s">
        <v>9505</v>
      </c>
    </row>
    <row r="9391" spans="1:9" x14ac:dyDescent="0.3">
      <c r="A9391" t="s">
        <v>10120</v>
      </c>
      <c r="B9391" t="s">
        <v>97</v>
      </c>
      <c r="C9391">
        <v>9406582649</v>
      </c>
      <c r="D9391" s="2">
        <v>1</v>
      </c>
      <c r="E9391" t="str">
        <f>"4574674200973733"</f>
        <v>4574674200973733</v>
      </c>
      <c r="F9391" t="str">
        <f>"366"</f>
        <v>366</v>
      </c>
      <c r="G9391">
        <v>1</v>
      </c>
      <c r="H9391">
        <v>2023</v>
      </c>
      <c r="I9391" t="s">
        <v>9506</v>
      </c>
    </row>
    <row r="9392" spans="1:9" x14ac:dyDescent="0.3">
      <c r="A9392" t="s">
        <v>10120</v>
      </c>
      <c r="B9392" t="s">
        <v>97</v>
      </c>
      <c r="C9392">
        <v>9406582649</v>
      </c>
      <c r="D9392" s="2">
        <v>1</v>
      </c>
      <c r="E9392" t="str">
        <f>"4574674200973105"</f>
        <v>4574674200973105</v>
      </c>
      <c r="F9392" t="str">
        <f>"787"</f>
        <v>787</v>
      </c>
      <c r="G9392">
        <v>1</v>
      </c>
      <c r="H9392">
        <v>2023</v>
      </c>
      <c r="I9392" t="s">
        <v>9507</v>
      </c>
    </row>
    <row r="9393" spans="1:9" x14ac:dyDescent="0.3">
      <c r="A9393" t="s">
        <v>10120</v>
      </c>
      <c r="B9393" t="s">
        <v>97</v>
      </c>
      <c r="C9393">
        <v>9406582649</v>
      </c>
      <c r="D9393" s="2">
        <v>1</v>
      </c>
      <c r="E9393" t="str">
        <f>"4574674200973139"</f>
        <v>4574674200973139</v>
      </c>
      <c r="F9393" t="str">
        <f>"834"</f>
        <v>834</v>
      </c>
      <c r="G9393">
        <v>1</v>
      </c>
      <c r="H9393">
        <v>2023</v>
      </c>
      <c r="I9393" t="s">
        <v>9508</v>
      </c>
    </row>
    <row r="9394" spans="1:9" x14ac:dyDescent="0.3">
      <c r="A9394" t="s">
        <v>10120</v>
      </c>
      <c r="B9394" t="s">
        <v>97</v>
      </c>
      <c r="C9394">
        <v>9406582649</v>
      </c>
      <c r="D9394" s="2">
        <v>1</v>
      </c>
      <c r="E9394" t="str">
        <f>"4574674200973808"</f>
        <v>4574674200973808</v>
      </c>
      <c r="F9394" t="str">
        <f>"648"</f>
        <v>648</v>
      </c>
      <c r="G9394">
        <v>1</v>
      </c>
      <c r="H9394">
        <v>2023</v>
      </c>
      <c r="I9394" t="s">
        <v>9509</v>
      </c>
    </row>
    <row r="9395" spans="1:9" x14ac:dyDescent="0.3">
      <c r="A9395" t="s">
        <v>10120</v>
      </c>
      <c r="B9395" t="s">
        <v>97</v>
      </c>
      <c r="C9395">
        <v>9406582649</v>
      </c>
      <c r="D9395" s="2">
        <v>1</v>
      </c>
      <c r="E9395" t="str">
        <f>"4574674200973766"</f>
        <v>4574674200973766</v>
      </c>
      <c r="F9395" t="str">
        <f>"785"</f>
        <v>785</v>
      </c>
      <c r="G9395">
        <v>1</v>
      </c>
      <c r="H9395">
        <v>2023</v>
      </c>
      <c r="I9395" t="s">
        <v>9510</v>
      </c>
    </row>
    <row r="9396" spans="1:9" x14ac:dyDescent="0.3">
      <c r="A9396" t="s">
        <v>10121</v>
      </c>
      <c r="B9396" t="s">
        <v>98</v>
      </c>
      <c r="C9396">
        <v>9406582649</v>
      </c>
      <c r="D9396" s="2">
        <v>1</v>
      </c>
      <c r="E9396" t="str">
        <f>"4574674200973824"</f>
        <v>4574674200973824</v>
      </c>
      <c r="F9396" t="str">
        <f>"984"</f>
        <v>984</v>
      </c>
      <c r="G9396">
        <v>1</v>
      </c>
      <c r="H9396">
        <v>2023</v>
      </c>
      <c r="I9396" t="s">
        <v>9511</v>
      </c>
    </row>
    <row r="9397" spans="1:9" x14ac:dyDescent="0.3">
      <c r="A9397" t="s">
        <v>10121</v>
      </c>
      <c r="B9397" t="s">
        <v>98</v>
      </c>
      <c r="C9397">
        <v>9406582649</v>
      </c>
      <c r="D9397" s="2">
        <v>1</v>
      </c>
      <c r="E9397" t="str">
        <f>"4574674200973758"</f>
        <v>4574674200973758</v>
      </c>
      <c r="F9397" t="str">
        <f>"263"</f>
        <v>263</v>
      </c>
      <c r="G9397">
        <v>1</v>
      </c>
      <c r="H9397">
        <v>2023</v>
      </c>
      <c r="I9397" t="s">
        <v>9512</v>
      </c>
    </row>
    <row r="9398" spans="1:9" x14ac:dyDescent="0.3">
      <c r="A9398" t="s">
        <v>10121</v>
      </c>
      <c r="B9398" t="s">
        <v>98</v>
      </c>
      <c r="C9398">
        <v>9406582649</v>
      </c>
      <c r="D9398" s="2">
        <v>1</v>
      </c>
      <c r="E9398" t="str">
        <f>"4574674200973782"</f>
        <v>4574674200973782</v>
      </c>
      <c r="F9398" t="str">
        <f>"501"</f>
        <v>501</v>
      </c>
      <c r="G9398">
        <v>1</v>
      </c>
      <c r="H9398">
        <v>2023</v>
      </c>
      <c r="I9398" t="s">
        <v>9513</v>
      </c>
    </row>
    <row r="9399" spans="1:9" x14ac:dyDescent="0.3">
      <c r="A9399" t="s">
        <v>10121</v>
      </c>
      <c r="B9399" t="s">
        <v>98</v>
      </c>
      <c r="C9399">
        <v>9406582649</v>
      </c>
      <c r="D9399" s="2">
        <v>1</v>
      </c>
      <c r="E9399" t="str">
        <f>"4574674200973147"</f>
        <v>4574674200973147</v>
      </c>
      <c r="F9399" t="str">
        <f>"286"</f>
        <v>286</v>
      </c>
      <c r="G9399">
        <v>1</v>
      </c>
      <c r="H9399">
        <v>2023</v>
      </c>
      <c r="I9399" t="s">
        <v>9514</v>
      </c>
    </row>
    <row r="9400" spans="1:9" x14ac:dyDescent="0.3">
      <c r="A9400" t="s">
        <v>10121</v>
      </c>
      <c r="B9400" t="s">
        <v>98</v>
      </c>
      <c r="C9400">
        <v>9406582649</v>
      </c>
      <c r="D9400" s="2">
        <v>1</v>
      </c>
      <c r="E9400" t="str">
        <f>"4574674200973857"</f>
        <v>4574674200973857</v>
      </c>
      <c r="F9400" t="str">
        <f>"397"</f>
        <v>397</v>
      </c>
      <c r="G9400">
        <v>1</v>
      </c>
      <c r="H9400">
        <v>2023</v>
      </c>
      <c r="I9400" t="s">
        <v>9515</v>
      </c>
    </row>
    <row r="9401" spans="1:9" x14ac:dyDescent="0.3">
      <c r="A9401" t="s">
        <v>10121</v>
      </c>
      <c r="B9401" t="s">
        <v>98</v>
      </c>
      <c r="C9401">
        <v>9406582649</v>
      </c>
      <c r="D9401" s="2">
        <v>1</v>
      </c>
      <c r="E9401" t="str">
        <f>"4574674200973865"</f>
        <v>4574674200973865</v>
      </c>
      <c r="F9401" t="str">
        <f>"914"</f>
        <v>914</v>
      </c>
      <c r="G9401">
        <v>1</v>
      </c>
      <c r="H9401">
        <v>2023</v>
      </c>
      <c r="I9401" t="s">
        <v>9516</v>
      </c>
    </row>
    <row r="9402" spans="1:9" x14ac:dyDescent="0.3">
      <c r="A9402" t="s">
        <v>10121</v>
      </c>
      <c r="B9402" t="s">
        <v>98</v>
      </c>
      <c r="C9402">
        <v>9406582649</v>
      </c>
      <c r="D9402" s="2">
        <v>1</v>
      </c>
      <c r="E9402" t="str">
        <f>"4574674200973881"</f>
        <v>4574674200973881</v>
      </c>
      <c r="F9402" t="str">
        <f>"773"</f>
        <v>773</v>
      </c>
      <c r="G9402">
        <v>1</v>
      </c>
      <c r="H9402">
        <v>2023</v>
      </c>
      <c r="I9402" t="s">
        <v>9517</v>
      </c>
    </row>
    <row r="9403" spans="1:9" x14ac:dyDescent="0.3">
      <c r="A9403" t="s">
        <v>10121</v>
      </c>
      <c r="B9403" t="s">
        <v>98</v>
      </c>
      <c r="C9403">
        <v>9406582649</v>
      </c>
      <c r="D9403" s="2">
        <v>1</v>
      </c>
      <c r="E9403" t="str">
        <f>"4574674200973899"</f>
        <v>4574674200973899</v>
      </c>
      <c r="F9403" t="str">
        <f>"067"</f>
        <v>067</v>
      </c>
      <c r="G9403">
        <v>1</v>
      </c>
      <c r="H9403">
        <v>2023</v>
      </c>
      <c r="I9403" t="s">
        <v>9518</v>
      </c>
    </row>
    <row r="9404" spans="1:9" x14ac:dyDescent="0.3">
      <c r="A9404" t="s">
        <v>10121</v>
      </c>
      <c r="B9404" t="s">
        <v>98</v>
      </c>
      <c r="C9404">
        <v>9406582649</v>
      </c>
      <c r="D9404" s="2">
        <v>1</v>
      </c>
      <c r="E9404" t="str">
        <f>"4574674200973949"</f>
        <v>4574674200973949</v>
      </c>
      <c r="F9404" t="str">
        <f>"770"</f>
        <v>770</v>
      </c>
      <c r="G9404">
        <v>1</v>
      </c>
      <c r="H9404">
        <v>2023</v>
      </c>
      <c r="I9404" t="s">
        <v>9519</v>
      </c>
    </row>
    <row r="9405" spans="1:9" x14ac:dyDescent="0.3">
      <c r="A9405" t="s">
        <v>10121</v>
      </c>
      <c r="B9405" t="s">
        <v>98</v>
      </c>
      <c r="C9405">
        <v>9406582649</v>
      </c>
      <c r="D9405" s="2">
        <v>1</v>
      </c>
      <c r="E9405" t="str">
        <f>"4574674200973170"</f>
        <v>4574674200973170</v>
      </c>
      <c r="F9405" t="str">
        <f>"993"</f>
        <v>993</v>
      </c>
      <c r="G9405">
        <v>1</v>
      </c>
      <c r="H9405">
        <v>2023</v>
      </c>
      <c r="I9405" t="s">
        <v>9520</v>
      </c>
    </row>
    <row r="9406" spans="1:9" x14ac:dyDescent="0.3">
      <c r="A9406" t="s">
        <v>10122</v>
      </c>
      <c r="B9406" t="s">
        <v>99</v>
      </c>
      <c r="C9406">
        <v>9406582649</v>
      </c>
      <c r="D9406" s="2">
        <v>1</v>
      </c>
      <c r="E9406" t="str">
        <f>"4574674200973956"</f>
        <v>4574674200973956</v>
      </c>
      <c r="F9406" t="str">
        <f>"493"</f>
        <v>493</v>
      </c>
      <c r="G9406">
        <v>1</v>
      </c>
      <c r="H9406">
        <v>2023</v>
      </c>
      <c r="I9406" t="s">
        <v>9521</v>
      </c>
    </row>
    <row r="9407" spans="1:9" x14ac:dyDescent="0.3">
      <c r="A9407" t="s">
        <v>10122</v>
      </c>
      <c r="B9407" t="s">
        <v>99</v>
      </c>
      <c r="C9407">
        <v>9406582649</v>
      </c>
      <c r="D9407" s="2">
        <v>1</v>
      </c>
      <c r="E9407" t="str">
        <f>"4574674200973964"</f>
        <v>4574674200973964</v>
      </c>
      <c r="F9407" t="str">
        <f>"136"</f>
        <v>136</v>
      </c>
      <c r="G9407">
        <v>1</v>
      </c>
      <c r="H9407">
        <v>2023</v>
      </c>
      <c r="I9407" t="s">
        <v>9522</v>
      </c>
    </row>
    <row r="9408" spans="1:9" x14ac:dyDescent="0.3">
      <c r="A9408" t="s">
        <v>10122</v>
      </c>
      <c r="B9408" t="s">
        <v>99</v>
      </c>
      <c r="C9408">
        <v>9406582649</v>
      </c>
      <c r="D9408" s="2">
        <v>1</v>
      </c>
      <c r="E9408" t="str">
        <f>"4574674200974004"</f>
        <v>4574674200974004</v>
      </c>
      <c r="F9408" t="str">
        <f>"563"</f>
        <v>563</v>
      </c>
      <c r="G9408">
        <v>1</v>
      </c>
      <c r="H9408">
        <v>2023</v>
      </c>
      <c r="I9408" t="s">
        <v>9523</v>
      </c>
    </row>
    <row r="9409" spans="1:9" x14ac:dyDescent="0.3">
      <c r="A9409" t="s">
        <v>10122</v>
      </c>
      <c r="B9409" t="s">
        <v>99</v>
      </c>
      <c r="C9409">
        <v>9406582649</v>
      </c>
      <c r="D9409" s="2">
        <v>1</v>
      </c>
      <c r="E9409" t="str">
        <f>"4574674200974020"</f>
        <v>4574674200974020</v>
      </c>
      <c r="F9409" t="str">
        <f>"468"</f>
        <v>468</v>
      </c>
      <c r="G9409">
        <v>1</v>
      </c>
      <c r="H9409">
        <v>2023</v>
      </c>
      <c r="I9409" t="s">
        <v>9524</v>
      </c>
    </row>
    <row r="9410" spans="1:9" x14ac:dyDescent="0.3">
      <c r="A9410" t="s">
        <v>10122</v>
      </c>
      <c r="B9410" t="s">
        <v>99</v>
      </c>
      <c r="C9410">
        <v>9406582649</v>
      </c>
      <c r="D9410" s="2">
        <v>1</v>
      </c>
      <c r="E9410" t="str">
        <f>"4574674200974046"</f>
        <v>4574674200974046</v>
      </c>
      <c r="F9410" t="str">
        <f>"069"</f>
        <v>069</v>
      </c>
      <c r="G9410">
        <v>1</v>
      </c>
      <c r="H9410">
        <v>2023</v>
      </c>
      <c r="I9410" t="s">
        <v>9525</v>
      </c>
    </row>
    <row r="9411" spans="1:9" x14ac:dyDescent="0.3">
      <c r="A9411" t="s">
        <v>10122</v>
      </c>
      <c r="B9411" t="s">
        <v>99</v>
      </c>
      <c r="C9411">
        <v>9406582649</v>
      </c>
      <c r="D9411" s="2">
        <v>1</v>
      </c>
      <c r="E9411" t="str">
        <f>"4574674200973188"</f>
        <v>4574674200973188</v>
      </c>
      <c r="F9411" t="str">
        <f>"728"</f>
        <v>728</v>
      </c>
      <c r="G9411">
        <v>1</v>
      </c>
      <c r="H9411">
        <v>2023</v>
      </c>
      <c r="I9411" t="s">
        <v>9526</v>
      </c>
    </row>
    <row r="9412" spans="1:9" x14ac:dyDescent="0.3">
      <c r="A9412" t="s">
        <v>10122</v>
      </c>
      <c r="B9412" t="s">
        <v>99</v>
      </c>
      <c r="C9412">
        <v>9406582649</v>
      </c>
      <c r="D9412" s="2">
        <v>1</v>
      </c>
      <c r="E9412" t="str">
        <f>"4574674200974111"</f>
        <v>4574674200974111</v>
      </c>
      <c r="F9412" t="str">
        <f>"771"</f>
        <v>771</v>
      </c>
      <c r="G9412">
        <v>1</v>
      </c>
      <c r="H9412">
        <v>2023</v>
      </c>
      <c r="I9412" t="s">
        <v>9527</v>
      </c>
    </row>
    <row r="9413" spans="1:9" x14ac:dyDescent="0.3">
      <c r="A9413" t="s">
        <v>10122</v>
      </c>
      <c r="B9413" t="s">
        <v>99</v>
      </c>
      <c r="C9413">
        <v>9406582649</v>
      </c>
      <c r="D9413" s="2">
        <v>1</v>
      </c>
      <c r="E9413" t="str">
        <f>"4574674200974129"</f>
        <v>4574674200974129</v>
      </c>
      <c r="F9413" t="str">
        <f>"711"</f>
        <v>711</v>
      </c>
      <c r="G9413">
        <v>1</v>
      </c>
      <c r="H9413">
        <v>2023</v>
      </c>
      <c r="I9413" t="s">
        <v>9528</v>
      </c>
    </row>
    <row r="9414" spans="1:9" x14ac:dyDescent="0.3">
      <c r="A9414" t="s">
        <v>10122</v>
      </c>
      <c r="B9414" t="s">
        <v>99</v>
      </c>
      <c r="C9414">
        <v>9406582649</v>
      </c>
      <c r="D9414" s="2">
        <v>1</v>
      </c>
      <c r="E9414" t="str">
        <f>"4574674200974145"</f>
        <v>4574674200974145</v>
      </c>
      <c r="F9414" t="str">
        <f>"577"</f>
        <v>577</v>
      </c>
      <c r="G9414">
        <v>1</v>
      </c>
      <c r="H9414">
        <v>2023</v>
      </c>
      <c r="I9414" t="s">
        <v>9529</v>
      </c>
    </row>
    <row r="9415" spans="1:9" x14ac:dyDescent="0.3">
      <c r="A9415" t="s">
        <v>10122</v>
      </c>
      <c r="B9415" t="s">
        <v>99</v>
      </c>
      <c r="C9415">
        <v>9406582649</v>
      </c>
      <c r="D9415" s="2">
        <v>1</v>
      </c>
      <c r="E9415" t="str">
        <f>"4574674200973196"</f>
        <v>4574674200973196</v>
      </c>
      <c r="F9415" t="str">
        <f>"852"</f>
        <v>852</v>
      </c>
      <c r="G9415">
        <v>1</v>
      </c>
      <c r="H9415">
        <v>2023</v>
      </c>
      <c r="I9415" t="s">
        <v>9530</v>
      </c>
    </row>
    <row r="9416" spans="1:9" x14ac:dyDescent="0.3">
      <c r="A9416" t="s">
        <v>10123</v>
      </c>
      <c r="B9416" t="s">
        <v>100</v>
      </c>
      <c r="C9416">
        <v>9406582649</v>
      </c>
      <c r="D9416" s="2">
        <v>1</v>
      </c>
      <c r="E9416" t="str">
        <f>"4574674200974160"</f>
        <v>4574674200974160</v>
      </c>
      <c r="F9416" t="str">
        <f>"870"</f>
        <v>870</v>
      </c>
      <c r="G9416">
        <v>1</v>
      </c>
      <c r="H9416">
        <v>2023</v>
      </c>
      <c r="I9416" t="s">
        <v>9531</v>
      </c>
    </row>
    <row r="9417" spans="1:9" x14ac:dyDescent="0.3">
      <c r="A9417" t="s">
        <v>10123</v>
      </c>
      <c r="B9417" t="s">
        <v>100</v>
      </c>
      <c r="C9417">
        <v>9406582649</v>
      </c>
      <c r="D9417" s="2">
        <v>1</v>
      </c>
      <c r="E9417" t="str">
        <f>"4574674200974418"</f>
        <v>4574674200974418</v>
      </c>
      <c r="F9417" t="str">
        <f>"369"</f>
        <v>369</v>
      </c>
      <c r="G9417">
        <v>1</v>
      </c>
      <c r="H9417">
        <v>2023</v>
      </c>
      <c r="I9417" t="s">
        <v>9532</v>
      </c>
    </row>
    <row r="9418" spans="1:9" x14ac:dyDescent="0.3">
      <c r="A9418" t="s">
        <v>10123</v>
      </c>
      <c r="B9418" t="s">
        <v>100</v>
      </c>
      <c r="C9418">
        <v>9406582649</v>
      </c>
      <c r="D9418" s="2">
        <v>1</v>
      </c>
      <c r="E9418" t="str">
        <f>"4574674200974434"</f>
        <v>4574674200974434</v>
      </c>
      <c r="F9418" t="str">
        <f>"955"</f>
        <v>955</v>
      </c>
      <c r="G9418">
        <v>1</v>
      </c>
      <c r="H9418">
        <v>2023</v>
      </c>
      <c r="I9418" t="s">
        <v>9533</v>
      </c>
    </row>
    <row r="9419" spans="1:9" x14ac:dyDescent="0.3">
      <c r="A9419" t="s">
        <v>10123</v>
      </c>
      <c r="B9419" t="s">
        <v>100</v>
      </c>
      <c r="C9419">
        <v>9406582649</v>
      </c>
      <c r="D9419" s="2">
        <v>1</v>
      </c>
      <c r="E9419" t="str">
        <f>"4574674200974467"</f>
        <v>4574674200974467</v>
      </c>
      <c r="F9419" t="str">
        <f>"785"</f>
        <v>785</v>
      </c>
      <c r="G9419">
        <v>1</v>
      </c>
      <c r="H9419">
        <v>2023</v>
      </c>
      <c r="I9419" t="s">
        <v>9534</v>
      </c>
    </row>
    <row r="9420" spans="1:9" x14ac:dyDescent="0.3">
      <c r="A9420" t="s">
        <v>10123</v>
      </c>
      <c r="B9420" t="s">
        <v>100</v>
      </c>
      <c r="C9420">
        <v>9406582649</v>
      </c>
      <c r="D9420" s="2">
        <v>1</v>
      </c>
      <c r="E9420" t="str">
        <f>"4574674200974228"</f>
        <v>4574674200974228</v>
      </c>
      <c r="F9420" t="str">
        <f>"563"</f>
        <v>563</v>
      </c>
      <c r="G9420">
        <v>1</v>
      </c>
      <c r="H9420">
        <v>2023</v>
      </c>
      <c r="I9420" t="s">
        <v>9535</v>
      </c>
    </row>
    <row r="9421" spans="1:9" x14ac:dyDescent="0.3">
      <c r="A9421" t="s">
        <v>10123</v>
      </c>
      <c r="B9421" t="s">
        <v>100</v>
      </c>
      <c r="C9421">
        <v>9406582649</v>
      </c>
      <c r="D9421" s="2">
        <v>1</v>
      </c>
      <c r="E9421" t="str">
        <f>"4574674200974517"</f>
        <v>4574674200974517</v>
      </c>
      <c r="F9421" t="str">
        <f>"707"</f>
        <v>707</v>
      </c>
      <c r="G9421">
        <v>1</v>
      </c>
      <c r="H9421">
        <v>2023</v>
      </c>
      <c r="I9421" t="s">
        <v>9536</v>
      </c>
    </row>
    <row r="9422" spans="1:9" x14ac:dyDescent="0.3">
      <c r="A9422" t="s">
        <v>10123</v>
      </c>
      <c r="B9422" t="s">
        <v>100</v>
      </c>
      <c r="C9422">
        <v>9406582649</v>
      </c>
      <c r="D9422" s="2">
        <v>1</v>
      </c>
      <c r="E9422" t="str">
        <f>"4574674200974525"</f>
        <v>4574674200974525</v>
      </c>
      <c r="F9422" t="str">
        <f>"225"</f>
        <v>225</v>
      </c>
      <c r="G9422">
        <v>1</v>
      </c>
      <c r="H9422">
        <v>2023</v>
      </c>
      <c r="I9422" t="s">
        <v>9537</v>
      </c>
    </row>
    <row r="9423" spans="1:9" x14ac:dyDescent="0.3">
      <c r="A9423" t="s">
        <v>10123</v>
      </c>
      <c r="B9423" t="s">
        <v>100</v>
      </c>
      <c r="C9423">
        <v>9406582649</v>
      </c>
      <c r="D9423" s="2">
        <v>1</v>
      </c>
      <c r="E9423" t="str">
        <f>"4574674200974533"</f>
        <v>4574674200974533</v>
      </c>
      <c r="F9423" t="str">
        <f>"163"</f>
        <v>163</v>
      </c>
      <c r="G9423">
        <v>1</v>
      </c>
      <c r="H9423">
        <v>2023</v>
      </c>
      <c r="I9423" t="s">
        <v>9538</v>
      </c>
    </row>
    <row r="9424" spans="1:9" x14ac:dyDescent="0.3">
      <c r="A9424" t="s">
        <v>10123</v>
      </c>
      <c r="B9424" t="s">
        <v>100</v>
      </c>
      <c r="C9424">
        <v>9406582649</v>
      </c>
      <c r="D9424" s="2">
        <v>1</v>
      </c>
      <c r="E9424" t="str">
        <f>"4574674200974558"</f>
        <v>4574674200974558</v>
      </c>
      <c r="F9424" t="str">
        <f>"564"</f>
        <v>564</v>
      </c>
      <c r="G9424">
        <v>1</v>
      </c>
      <c r="H9424">
        <v>2023</v>
      </c>
      <c r="I9424" t="s">
        <v>9539</v>
      </c>
    </row>
    <row r="9425" spans="1:9" x14ac:dyDescent="0.3">
      <c r="A9425" t="s">
        <v>10123</v>
      </c>
      <c r="B9425" t="s">
        <v>100</v>
      </c>
      <c r="C9425">
        <v>9406582649</v>
      </c>
      <c r="D9425" s="2">
        <v>1</v>
      </c>
      <c r="E9425" t="str">
        <f>"4574674200974566"</f>
        <v>4574674200974566</v>
      </c>
      <c r="F9425" t="str">
        <f>"333"</f>
        <v>333</v>
      </c>
      <c r="G9425">
        <v>1</v>
      </c>
      <c r="H9425">
        <v>2023</v>
      </c>
      <c r="I9425" t="s">
        <v>9540</v>
      </c>
    </row>
    <row r="9426" spans="1:9" x14ac:dyDescent="0.3">
      <c r="A9426" t="s">
        <v>10124</v>
      </c>
      <c r="B9426" t="s">
        <v>101</v>
      </c>
      <c r="C9426">
        <v>9406582649</v>
      </c>
      <c r="D9426" s="2">
        <v>1</v>
      </c>
      <c r="E9426" t="str">
        <f>"4574674200974251"</f>
        <v>4574674200974251</v>
      </c>
      <c r="F9426" t="str">
        <f>"459"</f>
        <v>459</v>
      </c>
      <c r="G9426">
        <v>1</v>
      </c>
      <c r="H9426">
        <v>2023</v>
      </c>
      <c r="I9426" t="s">
        <v>9541</v>
      </c>
    </row>
    <row r="9427" spans="1:9" x14ac:dyDescent="0.3">
      <c r="A9427" t="s">
        <v>10124</v>
      </c>
      <c r="B9427" t="s">
        <v>101</v>
      </c>
      <c r="C9427">
        <v>9406582649</v>
      </c>
      <c r="D9427" s="2">
        <v>1</v>
      </c>
      <c r="E9427" t="str">
        <f>"4574674200974608"</f>
        <v>4574674200974608</v>
      </c>
      <c r="F9427" t="str">
        <f>"851"</f>
        <v>851</v>
      </c>
      <c r="G9427">
        <v>1</v>
      </c>
      <c r="H9427">
        <v>2023</v>
      </c>
      <c r="I9427" t="s">
        <v>9542</v>
      </c>
    </row>
    <row r="9428" spans="1:9" x14ac:dyDescent="0.3">
      <c r="A9428" t="s">
        <v>10124</v>
      </c>
      <c r="B9428" t="s">
        <v>101</v>
      </c>
      <c r="C9428">
        <v>9406582649</v>
      </c>
      <c r="D9428" s="2">
        <v>1</v>
      </c>
      <c r="E9428" t="str">
        <f>"4574674200974624"</f>
        <v>4574674200974624</v>
      </c>
      <c r="F9428" t="str">
        <f>"369"</f>
        <v>369</v>
      </c>
      <c r="G9428">
        <v>1</v>
      </c>
      <c r="H9428">
        <v>2023</v>
      </c>
      <c r="I9428" t="s">
        <v>9543</v>
      </c>
    </row>
    <row r="9429" spans="1:9" x14ac:dyDescent="0.3">
      <c r="A9429" t="s">
        <v>10124</v>
      </c>
      <c r="B9429" t="s">
        <v>101</v>
      </c>
      <c r="C9429">
        <v>9406582649</v>
      </c>
      <c r="D9429" s="2">
        <v>1</v>
      </c>
      <c r="E9429" t="str">
        <f>"4574674200974632"</f>
        <v>4574674200974632</v>
      </c>
      <c r="F9429" t="str">
        <f>"803"</f>
        <v>803</v>
      </c>
      <c r="G9429">
        <v>1</v>
      </c>
      <c r="H9429">
        <v>2023</v>
      </c>
      <c r="I9429" t="s">
        <v>9544</v>
      </c>
    </row>
    <row r="9430" spans="1:9" x14ac:dyDescent="0.3">
      <c r="A9430" t="s">
        <v>10124</v>
      </c>
      <c r="B9430" t="s">
        <v>101</v>
      </c>
      <c r="C9430">
        <v>9406582649</v>
      </c>
      <c r="D9430" s="2">
        <v>1</v>
      </c>
      <c r="E9430" t="str">
        <f>"4574674200974640"</f>
        <v>4574674200974640</v>
      </c>
      <c r="F9430" t="str">
        <f>"997"</f>
        <v>997</v>
      </c>
      <c r="G9430">
        <v>1</v>
      </c>
      <c r="H9430">
        <v>2023</v>
      </c>
      <c r="I9430" t="s">
        <v>9545</v>
      </c>
    </row>
    <row r="9431" spans="1:9" x14ac:dyDescent="0.3">
      <c r="A9431" t="s">
        <v>10124</v>
      </c>
      <c r="B9431" t="s">
        <v>101</v>
      </c>
      <c r="C9431">
        <v>9406582649</v>
      </c>
      <c r="D9431" s="2">
        <v>1</v>
      </c>
      <c r="E9431" t="str">
        <f>"4574674200974665"</f>
        <v>4574674200974665</v>
      </c>
      <c r="F9431" t="str">
        <f>"500"</f>
        <v>500</v>
      </c>
      <c r="G9431">
        <v>1</v>
      </c>
      <c r="H9431">
        <v>2023</v>
      </c>
      <c r="I9431" t="s">
        <v>9546</v>
      </c>
    </row>
    <row r="9432" spans="1:9" x14ac:dyDescent="0.3">
      <c r="A9432" t="s">
        <v>10124</v>
      </c>
      <c r="B9432" t="s">
        <v>101</v>
      </c>
      <c r="C9432">
        <v>9406582649</v>
      </c>
      <c r="D9432" s="2">
        <v>1</v>
      </c>
      <c r="E9432" t="str">
        <f>"4574674200974269"</f>
        <v>4574674200974269</v>
      </c>
      <c r="F9432" t="str">
        <f>"092"</f>
        <v>092</v>
      </c>
      <c r="G9432">
        <v>1</v>
      </c>
      <c r="H9432">
        <v>2023</v>
      </c>
      <c r="I9432" t="s">
        <v>9547</v>
      </c>
    </row>
    <row r="9433" spans="1:9" x14ac:dyDescent="0.3">
      <c r="A9433" t="s">
        <v>10124</v>
      </c>
      <c r="B9433" t="s">
        <v>101</v>
      </c>
      <c r="C9433">
        <v>9406582649</v>
      </c>
      <c r="D9433" s="2">
        <v>1</v>
      </c>
      <c r="E9433" t="str">
        <f>"4574674200974723"</f>
        <v>4574674200974723</v>
      </c>
      <c r="F9433" t="str">
        <f>"137"</f>
        <v>137</v>
      </c>
      <c r="G9433">
        <v>1</v>
      </c>
      <c r="H9433">
        <v>2023</v>
      </c>
      <c r="I9433" t="s">
        <v>9548</v>
      </c>
    </row>
    <row r="9434" spans="1:9" x14ac:dyDescent="0.3">
      <c r="A9434" t="s">
        <v>10124</v>
      </c>
      <c r="B9434" t="s">
        <v>101</v>
      </c>
      <c r="C9434">
        <v>9406582649</v>
      </c>
      <c r="D9434" s="2">
        <v>1</v>
      </c>
      <c r="E9434" t="str">
        <f>"4574674200974715"</f>
        <v>4574674200974715</v>
      </c>
      <c r="F9434" t="str">
        <f>"648"</f>
        <v>648</v>
      </c>
      <c r="G9434">
        <v>1</v>
      </c>
      <c r="H9434">
        <v>2023</v>
      </c>
      <c r="I9434" t="s">
        <v>9549</v>
      </c>
    </row>
    <row r="9435" spans="1:9" x14ac:dyDescent="0.3">
      <c r="A9435" t="s">
        <v>10124</v>
      </c>
      <c r="B9435" t="s">
        <v>101</v>
      </c>
      <c r="C9435">
        <v>9406582649</v>
      </c>
      <c r="D9435" s="2">
        <v>1</v>
      </c>
      <c r="E9435" t="str">
        <f>"4574674200974731"</f>
        <v>4574674200974731</v>
      </c>
      <c r="F9435" t="str">
        <f>"393"</f>
        <v>393</v>
      </c>
      <c r="G9435">
        <v>1</v>
      </c>
      <c r="H9435">
        <v>2023</v>
      </c>
      <c r="I9435" t="s">
        <v>9550</v>
      </c>
    </row>
    <row r="9436" spans="1:9" x14ac:dyDescent="0.3">
      <c r="A9436" t="s">
        <v>10125</v>
      </c>
      <c r="B9436" t="s">
        <v>102</v>
      </c>
      <c r="C9436">
        <v>9406582649</v>
      </c>
      <c r="D9436" s="2">
        <v>1</v>
      </c>
      <c r="E9436" t="str">
        <f>"4574674200974749"</f>
        <v>4574674200974749</v>
      </c>
      <c r="F9436" t="str">
        <f>"141"</f>
        <v>141</v>
      </c>
      <c r="G9436">
        <v>1</v>
      </c>
      <c r="H9436">
        <v>2023</v>
      </c>
      <c r="I9436" t="s">
        <v>9551</v>
      </c>
    </row>
    <row r="9437" spans="1:9" x14ac:dyDescent="0.3">
      <c r="A9437" t="s">
        <v>10125</v>
      </c>
      <c r="B9437" t="s">
        <v>102</v>
      </c>
      <c r="C9437">
        <v>9406582649</v>
      </c>
      <c r="D9437" s="2">
        <v>1</v>
      </c>
      <c r="E9437" t="str">
        <f>"4574674200974772"</f>
        <v>4574674200974772</v>
      </c>
      <c r="F9437" t="str">
        <f>"069"</f>
        <v>069</v>
      </c>
      <c r="G9437">
        <v>1</v>
      </c>
      <c r="H9437">
        <v>2023</v>
      </c>
      <c r="I9437" t="s">
        <v>9552</v>
      </c>
    </row>
    <row r="9438" spans="1:9" x14ac:dyDescent="0.3">
      <c r="A9438" t="s">
        <v>10125</v>
      </c>
      <c r="B9438" t="s">
        <v>102</v>
      </c>
      <c r="C9438">
        <v>9406582649</v>
      </c>
      <c r="D9438" s="2">
        <v>1</v>
      </c>
      <c r="E9438" t="str">
        <f>"4574674200974798"</f>
        <v>4574674200974798</v>
      </c>
      <c r="F9438" t="str">
        <f>"639"</f>
        <v>639</v>
      </c>
      <c r="G9438">
        <v>1</v>
      </c>
      <c r="H9438">
        <v>2023</v>
      </c>
      <c r="I9438" t="s">
        <v>9553</v>
      </c>
    </row>
    <row r="9439" spans="1:9" x14ac:dyDescent="0.3">
      <c r="A9439" t="s">
        <v>10125</v>
      </c>
      <c r="B9439" t="s">
        <v>102</v>
      </c>
      <c r="C9439">
        <v>9406582649</v>
      </c>
      <c r="D9439" s="2">
        <v>1</v>
      </c>
      <c r="E9439" t="str">
        <f>"4574674200974293"</f>
        <v>4574674200974293</v>
      </c>
      <c r="F9439" t="str">
        <f>"558"</f>
        <v>558</v>
      </c>
      <c r="G9439">
        <v>1</v>
      </c>
      <c r="H9439">
        <v>2023</v>
      </c>
      <c r="I9439" t="s">
        <v>9554</v>
      </c>
    </row>
    <row r="9440" spans="1:9" x14ac:dyDescent="0.3">
      <c r="A9440" t="s">
        <v>10125</v>
      </c>
      <c r="B9440" t="s">
        <v>102</v>
      </c>
      <c r="C9440">
        <v>9406582649</v>
      </c>
      <c r="D9440" s="2">
        <v>1</v>
      </c>
      <c r="E9440" t="str">
        <f>"4574674200974822"</f>
        <v>4574674200974822</v>
      </c>
      <c r="F9440" t="str">
        <f>"676"</f>
        <v>676</v>
      </c>
      <c r="G9440">
        <v>1</v>
      </c>
      <c r="H9440">
        <v>2023</v>
      </c>
      <c r="I9440" t="s">
        <v>9555</v>
      </c>
    </row>
    <row r="9441" spans="1:9" x14ac:dyDescent="0.3">
      <c r="A9441" t="s">
        <v>10125</v>
      </c>
      <c r="B9441" t="s">
        <v>102</v>
      </c>
      <c r="C9441">
        <v>9406582649</v>
      </c>
      <c r="D9441" s="2">
        <v>1</v>
      </c>
      <c r="E9441" t="str">
        <f>"4574674200974848"</f>
        <v>4574674200974848</v>
      </c>
      <c r="F9441" t="str">
        <f>"640"</f>
        <v>640</v>
      </c>
      <c r="G9441">
        <v>1</v>
      </c>
      <c r="H9441">
        <v>2023</v>
      </c>
      <c r="I9441" t="s">
        <v>9556</v>
      </c>
    </row>
    <row r="9442" spans="1:9" x14ac:dyDescent="0.3">
      <c r="A9442" t="s">
        <v>10125</v>
      </c>
      <c r="B9442" t="s">
        <v>102</v>
      </c>
      <c r="C9442">
        <v>9406582649</v>
      </c>
      <c r="D9442" s="2">
        <v>1</v>
      </c>
      <c r="E9442" t="str">
        <f>"4574674200974830"</f>
        <v>4574674200974830</v>
      </c>
      <c r="F9442" t="str">
        <f>"213"</f>
        <v>213</v>
      </c>
      <c r="G9442">
        <v>1</v>
      </c>
      <c r="H9442">
        <v>2023</v>
      </c>
      <c r="I9442" t="s">
        <v>9557</v>
      </c>
    </row>
    <row r="9443" spans="1:9" x14ac:dyDescent="0.3">
      <c r="A9443" t="s">
        <v>10125</v>
      </c>
      <c r="B9443" t="s">
        <v>102</v>
      </c>
      <c r="C9443">
        <v>9406582649</v>
      </c>
      <c r="D9443" s="2">
        <v>1</v>
      </c>
      <c r="E9443" t="str">
        <f>"4574674200974889"</f>
        <v>4574674200974889</v>
      </c>
      <c r="F9443" t="str">
        <f>"248"</f>
        <v>248</v>
      </c>
      <c r="G9443">
        <v>1</v>
      </c>
      <c r="H9443">
        <v>2023</v>
      </c>
      <c r="I9443" t="s">
        <v>9558</v>
      </c>
    </row>
    <row r="9444" spans="1:9" x14ac:dyDescent="0.3">
      <c r="A9444" t="s">
        <v>10125</v>
      </c>
      <c r="B9444" t="s">
        <v>102</v>
      </c>
      <c r="C9444">
        <v>9406582649</v>
      </c>
      <c r="D9444" s="2">
        <v>1</v>
      </c>
      <c r="E9444" t="str">
        <f>"4574674200974913"</f>
        <v>4574674200974913</v>
      </c>
      <c r="F9444" t="str">
        <f>"091"</f>
        <v>091</v>
      </c>
      <c r="G9444">
        <v>1</v>
      </c>
      <c r="H9444">
        <v>2023</v>
      </c>
      <c r="I9444" t="s">
        <v>9559</v>
      </c>
    </row>
    <row r="9445" spans="1:9" x14ac:dyDescent="0.3">
      <c r="A9445" t="s">
        <v>10125</v>
      </c>
      <c r="B9445" t="s">
        <v>102</v>
      </c>
      <c r="C9445">
        <v>9406582649</v>
      </c>
      <c r="D9445" s="2">
        <v>1</v>
      </c>
      <c r="E9445" t="str">
        <f>"4574674200974301"</f>
        <v>4574674200974301</v>
      </c>
      <c r="F9445" t="str">
        <f>"990"</f>
        <v>990</v>
      </c>
      <c r="G9445">
        <v>1</v>
      </c>
      <c r="H9445">
        <v>2023</v>
      </c>
      <c r="I9445" t="s">
        <v>9560</v>
      </c>
    </row>
    <row r="9446" spans="1:9" x14ac:dyDescent="0.3">
      <c r="A9446" t="s">
        <v>10126</v>
      </c>
      <c r="B9446" t="s">
        <v>103</v>
      </c>
      <c r="C9446">
        <v>9406582649</v>
      </c>
      <c r="D9446" s="2">
        <v>1</v>
      </c>
      <c r="E9446" t="str">
        <f>"4574674200974327"</f>
        <v>4574674200974327</v>
      </c>
      <c r="F9446" t="str">
        <f>"393"</f>
        <v>393</v>
      </c>
      <c r="G9446">
        <v>1</v>
      </c>
      <c r="H9446">
        <v>2023</v>
      </c>
      <c r="I9446" t="s">
        <v>9561</v>
      </c>
    </row>
    <row r="9447" spans="1:9" x14ac:dyDescent="0.3">
      <c r="A9447" t="s">
        <v>10126</v>
      </c>
      <c r="B9447" t="s">
        <v>103</v>
      </c>
      <c r="C9447">
        <v>9406582649</v>
      </c>
      <c r="D9447" s="2">
        <v>1</v>
      </c>
      <c r="E9447" t="str">
        <f>"4574674200974939"</f>
        <v>4574674200974939</v>
      </c>
      <c r="F9447" t="str">
        <f>"733"</f>
        <v>733</v>
      </c>
      <c r="G9447">
        <v>1</v>
      </c>
      <c r="H9447">
        <v>2023</v>
      </c>
      <c r="I9447" t="s">
        <v>9562</v>
      </c>
    </row>
    <row r="9448" spans="1:9" x14ac:dyDescent="0.3">
      <c r="A9448" t="s">
        <v>10126</v>
      </c>
      <c r="B9448" t="s">
        <v>103</v>
      </c>
      <c r="C9448">
        <v>9406582649</v>
      </c>
      <c r="D9448" s="2">
        <v>1</v>
      </c>
      <c r="E9448" t="str">
        <f>"4574674200974921"</f>
        <v>4574674200974921</v>
      </c>
      <c r="F9448" t="str">
        <f>"958"</f>
        <v>958</v>
      </c>
      <c r="G9448">
        <v>1</v>
      </c>
      <c r="H9448">
        <v>2023</v>
      </c>
      <c r="I9448" t="s">
        <v>9563</v>
      </c>
    </row>
    <row r="9449" spans="1:9" x14ac:dyDescent="0.3">
      <c r="A9449" t="s">
        <v>10126</v>
      </c>
      <c r="B9449" t="s">
        <v>103</v>
      </c>
      <c r="C9449">
        <v>9406582649</v>
      </c>
      <c r="D9449" s="2">
        <v>1</v>
      </c>
      <c r="E9449" t="str">
        <f>"4574674200974947"</f>
        <v>4574674200974947</v>
      </c>
      <c r="F9449" t="str">
        <f>"994"</f>
        <v>994</v>
      </c>
      <c r="G9449">
        <v>1</v>
      </c>
      <c r="H9449">
        <v>2023</v>
      </c>
      <c r="I9449" t="s">
        <v>9564</v>
      </c>
    </row>
    <row r="9450" spans="1:9" x14ac:dyDescent="0.3">
      <c r="A9450" t="s">
        <v>10126</v>
      </c>
      <c r="B9450" t="s">
        <v>103</v>
      </c>
      <c r="C9450">
        <v>9406582649</v>
      </c>
      <c r="D9450" s="2">
        <v>1</v>
      </c>
      <c r="E9450" t="str">
        <f>"4574674200975001"</f>
        <v>4574674200975001</v>
      </c>
      <c r="F9450" t="str">
        <f>"709"</f>
        <v>709</v>
      </c>
      <c r="G9450">
        <v>1</v>
      </c>
      <c r="H9450">
        <v>2023</v>
      </c>
      <c r="I9450" t="s">
        <v>9565</v>
      </c>
    </row>
    <row r="9451" spans="1:9" x14ac:dyDescent="0.3">
      <c r="A9451" t="s">
        <v>10126</v>
      </c>
      <c r="B9451" t="s">
        <v>103</v>
      </c>
      <c r="C9451">
        <v>9406582649</v>
      </c>
      <c r="D9451" s="2">
        <v>1</v>
      </c>
      <c r="E9451" t="str">
        <f>"4574674200975019"</f>
        <v>4574674200975019</v>
      </c>
      <c r="F9451" t="str">
        <f>"895"</f>
        <v>895</v>
      </c>
      <c r="G9451">
        <v>1</v>
      </c>
      <c r="H9451">
        <v>2023</v>
      </c>
      <c r="I9451" t="s">
        <v>9566</v>
      </c>
    </row>
    <row r="9452" spans="1:9" x14ac:dyDescent="0.3">
      <c r="A9452" t="s">
        <v>10126</v>
      </c>
      <c r="B9452" t="s">
        <v>103</v>
      </c>
      <c r="C9452">
        <v>9406582649</v>
      </c>
      <c r="D9452" s="2">
        <v>1</v>
      </c>
      <c r="E9452" t="str">
        <f>"4574674200975050"</f>
        <v>4574674200975050</v>
      </c>
      <c r="F9452" t="str">
        <f>"459"</f>
        <v>459</v>
      </c>
      <c r="G9452">
        <v>1</v>
      </c>
      <c r="H9452">
        <v>2023</v>
      </c>
      <c r="I9452" t="s">
        <v>9567</v>
      </c>
    </row>
    <row r="9453" spans="1:9" x14ac:dyDescent="0.3">
      <c r="A9453" t="s">
        <v>10126</v>
      </c>
      <c r="B9453" t="s">
        <v>103</v>
      </c>
      <c r="C9453">
        <v>9406582649</v>
      </c>
      <c r="D9453" s="2">
        <v>1</v>
      </c>
      <c r="E9453" t="str">
        <f>"4574674200975076"</f>
        <v>4574674200975076</v>
      </c>
      <c r="F9453" t="str">
        <f>"252"</f>
        <v>252</v>
      </c>
      <c r="G9453">
        <v>1</v>
      </c>
      <c r="H9453">
        <v>2023</v>
      </c>
      <c r="I9453" t="s">
        <v>9568</v>
      </c>
    </row>
    <row r="9454" spans="1:9" x14ac:dyDescent="0.3">
      <c r="A9454" t="s">
        <v>10126</v>
      </c>
      <c r="B9454" t="s">
        <v>103</v>
      </c>
      <c r="C9454">
        <v>9406582649</v>
      </c>
      <c r="D9454" s="2">
        <v>1</v>
      </c>
      <c r="E9454" t="str">
        <f>"4574674200975084"</f>
        <v>4574674200975084</v>
      </c>
      <c r="F9454" t="str">
        <f>"292"</f>
        <v>292</v>
      </c>
      <c r="G9454">
        <v>1</v>
      </c>
      <c r="H9454">
        <v>2023</v>
      </c>
      <c r="I9454" t="s">
        <v>9569</v>
      </c>
    </row>
    <row r="9455" spans="1:9" x14ac:dyDescent="0.3">
      <c r="A9455" t="s">
        <v>10126</v>
      </c>
      <c r="B9455" t="s">
        <v>103</v>
      </c>
      <c r="C9455">
        <v>9406582649</v>
      </c>
      <c r="D9455" s="2">
        <v>1</v>
      </c>
      <c r="E9455" t="str">
        <f>"4574674200975100"</f>
        <v>4574674200975100</v>
      </c>
      <c r="F9455" t="str">
        <f>"293"</f>
        <v>293</v>
      </c>
      <c r="G9455">
        <v>1</v>
      </c>
      <c r="H9455">
        <v>2023</v>
      </c>
      <c r="I9455" t="s">
        <v>9570</v>
      </c>
    </row>
    <row r="9456" spans="1:9" x14ac:dyDescent="0.3">
      <c r="A9456" t="s">
        <v>10127</v>
      </c>
      <c r="B9456" t="s">
        <v>104</v>
      </c>
      <c r="C9456">
        <v>9406582649</v>
      </c>
      <c r="D9456" s="2">
        <v>1</v>
      </c>
      <c r="E9456" t="str">
        <f>"4574674200975118"</f>
        <v>4574674200975118</v>
      </c>
      <c r="F9456" t="str">
        <f>"899"</f>
        <v>899</v>
      </c>
      <c r="G9456">
        <v>1</v>
      </c>
      <c r="H9456">
        <v>2023</v>
      </c>
      <c r="I9456" t="s">
        <v>9571</v>
      </c>
    </row>
    <row r="9457" spans="1:9" x14ac:dyDescent="0.3">
      <c r="A9457" t="s">
        <v>10127</v>
      </c>
      <c r="B9457" t="s">
        <v>104</v>
      </c>
      <c r="C9457">
        <v>9406582649</v>
      </c>
      <c r="D9457" s="2">
        <v>1</v>
      </c>
      <c r="E9457" t="str">
        <f>"4574674200975126"</f>
        <v>4574674200975126</v>
      </c>
      <c r="F9457" t="str">
        <f>"405"</f>
        <v>405</v>
      </c>
      <c r="G9457">
        <v>1</v>
      </c>
      <c r="H9457">
        <v>2023</v>
      </c>
      <c r="I9457" t="s">
        <v>9572</v>
      </c>
    </row>
    <row r="9458" spans="1:9" x14ac:dyDescent="0.3">
      <c r="A9458" t="s">
        <v>10127</v>
      </c>
      <c r="B9458" t="s">
        <v>104</v>
      </c>
      <c r="C9458">
        <v>9406582649</v>
      </c>
      <c r="D9458" s="2">
        <v>1</v>
      </c>
      <c r="E9458" t="str">
        <f>"4574674200975159"</f>
        <v>4574674200975159</v>
      </c>
      <c r="F9458" t="str">
        <f>"789"</f>
        <v>789</v>
      </c>
      <c r="G9458">
        <v>1</v>
      </c>
      <c r="H9458">
        <v>2023</v>
      </c>
      <c r="I9458" t="s">
        <v>9573</v>
      </c>
    </row>
    <row r="9459" spans="1:9" x14ac:dyDescent="0.3">
      <c r="A9459" t="s">
        <v>10127</v>
      </c>
      <c r="B9459" t="s">
        <v>104</v>
      </c>
      <c r="C9459">
        <v>9406582649</v>
      </c>
      <c r="D9459" s="2">
        <v>1</v>
      </c>
      <c r="E9459" t="str">
        <f>"4574674200974343"</f>
        <v>4574674200974343</v>
      </c>
      <c r="F9459" t="str">
        <f>"580"</f>
        <v>580</v>
      </c>
      <c r="G9459">
        <v>1</v>
      </c>
      <c r="H9459">
        <v>2023</v>
      </c>
      <c r="I9459" t="s">
        <v>9574</v>
      </c>
    </row>
    <row r="9460" spans="1:9" x14ac:dyDescent="0.3">
      <c r="A9460" t="s">
        <v>10127</v>
      </c>
      <c r="B9460" t="s">
        <v>104</v>
      </c>
      <c r="C9460">
        <v>9406582649</v>
      </c>
      <c r="D9460" s="2">
        <v>1</v>
      </c>
      <c r="E9460" t="str">
        <f>"4574674200975209"</f>
        <v>4574674200975209</v>
      </c>
      <c r="F9460" t="str">
        <f>"085"</f>
        <v>085</v>
      </c>
      <c r="G9460">
        <v>1</v>
      </c>
      <c r="H9460">
        <v>2023</v>
      </c>
      <c r="I9460" t="s">
        <v>9575</v>
      </c>
    </row>
    <row r="9461" spans="1:9" x14ac:dyDescent="0.3">
      <c r="A9461" t="s">
        <v>10127</v>
      </c>
      <c r="B9461" t="s">
        <v>104</v>
      </c>
      <c r="C9461">
        <v>9406582649</v>
      </c>
      <c r="D9461" s="2">
        <v>1</v>
      </c>
      <c r="E9461" t="str">
        <f>"4574674200975183"</f>
        <v>4574674200975183</v>
      </c>
      <c r="F9461" t="str">
        <f>"461"</f>
        <v>461</v>
      </c>
      <c r="G9461">
        <v>1</v>
      </c>
      <c r="H9461">
        <v>2023</v>
      </c>
      <c r="I9461" t="s">
        <v>9576</v>
      </c>
    </row>
    <row r="9462" spans="1:9" x14ac:dyDescent="0.3">
      <c r="A9462" t="s">
        <v>10127</v>
      </c>
      <c r="B9462" t="s">
        <v>104</v>
      </c>
      <c r="C9462">
        <v>9406582649</v>
      </c>
      <c r="D9462" s="2">
        <v>1</v>
      </c>
      <c r="E9462" t="str">
        <f>"4574674200974376"</f>
        <v>4574674200974376</v>
      </c>
      <c r="F9462" t="str">
        <f>"100"</f>
        <v>100</v>
      </c>
      <c r="G9462">
        <v>1</v>
      </c>
      <c r="H9462">
        <v>2023</v>
      </c>
      <c r="I9462" t="s">
        <v>9577</v>
      </c>
    </row>
    <row r="9463" spans="1:9" x14ac:dyDescent="0.3">
      <c r="A9463" t="s">
        <v>10127</v>
      </c>
      <c r="B9463" t="s">
        <v>104</v>
      </c>
      <c r="C9463">
        <v>9406582649</v>
      </c>
      <c r="D9463" s="2">
        <v>1</v>
      </c>
      <c r="E9463" t="str">
        <f>"4574674200975217"</f>
        <v>4574674200975217</v>
      </c>
      <c r="F9463" t="str">
        <f>"812"</f>
        <v>812</v>
      </c>
      <c r="G9463">
        <v>1</v>
      </c>
      <c r="H9463">
        <v>2023</v>
      </c>
      <c r="I9463" t="s">
        <v>9578</v>
      </c>
    </row>
    <row r="9464" spans="1:9" x14ac:dyDescent="0.3">
      <c r="A9464" t="s">
        <v>10127</v>
      </c>
      <c r="B9464" t="s">
        <v>104</v>
      </c>
      <c r="C9464">
        <v>9406582649</v>
      </c>
      <c r="D9464" s="2">
        <v>1</v>
      </c>
      <c r="E9464" t="str">
        <f>"4574674200975225"</f>
        <v>4574674200975225</v>
      </c>
      <c r="F9464" t="str">
        <f>"911"</f>
        <v>911</v>
      </c>
      <c r="G9464">
        <v>1</v>
      </c>
      <c r="H9464">
        <v>2023</v>
      </c>
      <c r="I9464" t="s">
        <v>9579</v>
      </c>
    </row>
    <row r="9465" spans="1:9" x14ac:dyDescent="0.3">
      <c r="A9465" t="s">
        <v>10127</v>
      </c>
      <c r="B9465" t="s">
        <v>104</v>
      </c>
      <c r="C9465">
        <v>9406582649</v>
      </c>
      <c r="D9465" s="2">
        <v>1</v>
      </c>
      <c r="E9465" t="str">
        <f>"4574674200975258"</f>
        <v>4574674200975258</v>
      </c>
      <c r="F9465" t="str">
        <f>"415"</f>
        <v>415</v>
      </c>
      <c r="G9465">
        <v>1</v>
      </c>
      <c r="H9465">
        <v>2023</v>
      </c>
      <c r="I9465" t="s">
        <v>9580</v>
      </c>
    </row>
    <row r="9466" spans="1:9" x14ac:dyDescent="0.3">
      <c r="A9466" t="s">
        <v>10128</v>
      </c>
      <c r="B9466" t="s">
        <v>105</v>
      </c>
      <c r="C9466">
        <v>9406582649</v>
      </c>
      <c r="D9466" s="2">
        <v>1</v>
      </c>
      <c r="E9466" t="str">
        <f>"4574674200975282"</f>
        <v>4574674200975282</v>
      </c>
      <c r="F9466" t="str">
        <f>"011"</f>
        <v>011</v>
      </c>
      <c r="G9466">
        <v>1</v>
      </c>
      <c r="H9466">
        <v>2023</v>
      </c>
      <c r="I9466" t="s">
        <v>9581</v>
      </c>
    </row>
    <row r="9467" spans="1:9" x14ac:dyDescent="0.3">
      <c r="A9467" t="s">
        <v>10128</v>
      </c>
      <c r="B9467" t="s">
        <v>105</v>
      </c>
      <c r="C9467">
        <v>9406582649</v>
      </c>
      <c r="D9467" s="2">
        <v>1</v>
      </c>
      <c r="E9467" t="str">
        <f>"4574674200975290"</f>
        <v>4574674200975290</v>
      </c>
      <c r="F9467" t="str">
        <f>"126"</f>
        <v>126</v>
      </c>
      <c r="G9467">
        <v>1</v>
      </c>
      <c r="H9467">
        <v>2023</v>
      </c>
      <c r="I9467" t="s">
        <v>9582</v>
      </c>
    </row>
    <row r="9468" spans="1:9" x14ac:dyDescent="0.3">
      <c r="A9468" t="s">
        <v>10128</v>
      </c>
      <c r="B9468" t="s">
        <v>105</v>
      </c>
      <c r="C9468">
        <v>9406582649</v>
      </c>
      <c r="D9468" s="2">
        <v>1</v>
      </c>
      <c r="E9468" t="str">
        <f>"4574674200975316"</f>
        <v>4574674200975316</v>
      </c>
      <c r="F9468" t="str">
        <f>"129"</f>
        <v>129</v>
      </c>
      <c r="G9468">
        <v>1</v>
      </c>
      <c r="H9468">
        <v>2023</v>
      </c>
      <c r="I9468" t="s">
        <v>9583</v>
      </c>
    </row>
    <row r="9469" spans="1:9" x14ac:dyDescent="0.3">
      <c r="A9469" t="s">
        <v>10128</v>
      </c>
      <c r="B9469" t="s">
        <v>105</v>
      </c>
      <c r="C9469">
        <v>9406582649</v>
      </c>
      <c r="D9469" s="2">
        <v>1</v>
      </c>
      <c r="E9469" t="str">
        <f>"4574674200975324"</f>
        <v>4574674200975324</v>
      </c>
      <c r="F9469" t="str">
        <f>"219"</f>
        <v>219</v>
      </c>
      <c r="G9469">
        <v>1</v>
      </c>
      <c r="H9469">
        <v>2023</v>
      </c>
      <c r="I9469" t="s">
        <v>9584</v>
      </c>
    </row>
    <row r="9470" spans="1:9" x14ac:dyDescent="0.3">
      <c r="A9470" t="s">
        <v>10128</v>
      </c>
      <c r="B9470" t="s">
        <v>105</v>
      </c>
      <c r="C9470">
        <v>9406582649</v>
      </c>
      <c r="D9470" s="2">
        <v>1</v>
      </c>
      <c r="E9470" t="str">
        <f>"4574674200975340"</f>
        <v>4574674200975340</v>
      </c>
      <c r="F9470" t="str">
        <f>"555"</f>
        <v>555</v>
      </c>
      <c r="G9470">
        <v>1</v>
      </c>
      <c r="H9470">
        <v>2023</v>
      </c>
      <c r="I9470" t="s">
        <v>9585</v>
      </c>
    </row>
    <row r="9471" spans="1:9" x14ac:dyDescent="0.3">
      <c r="A9471" t="s">
        <v>10128</v>
      </c>
      <c r="B9471" t="s">
        <v>105</v>
      </c>
      <c r="C9471">
        <v>9406582649</v>
      </c>
      <c r="D9471" s="2">
        <v>1</v>
      </c>
      <c r="E9471" t="str">
        <f>"4574674200974384"</f>
        <v>4574674200974384</v>
      </c>
      <c r="F9471" t="str">
        <f>"999"</f>
        <v>999</v>
      </c>
      <c r="G9471">
        <v>1</v>
      </c>
      <c r="H9471">
        <v>2023</v>
      </c>
      <c r="I9471" t="s">
        <v>9586</v>
      </c>
    </row>
    <row r="9472" spans="1:9" x14ac:dyDescent="0.3">
      <c r="A9472" t="s">
        <v>10128</v>
      </c>
      <c r="B9472" t="s">
        <v>105</v>
      </c>
      <c r="C9472">
        <v>9406582649</v>
      </c>
      <c r="D9472" s="2">
        <v>1</v>
      </c>
      <c r="E9472" t="str">
        <f>"4574674200975407"</f>
        <v>4574674200975407</v>
      </c>
      <c r="F9472" t="str">
        <f>"093"</f>
        <v>093</v>
      </c>
      <c r="G9472">
        <v>1</v>
      </c>
      <c r="H9472">
        <v>2023</v>
      </c>
      <c r="I9472" t="s">
        <v>9587</v>
      </c>
    </row>
    <row r="9473" spans="1:9" x14ac:dyDescent="0.3">
      <c r="A9473" t="s">
        <v>10128</v>
      </c>
      <c r="B9473" t="s">
        <v>105</v>
      </c>
      <c r="C9473">
        <v>9406582649</v>
      </c>
      <c r="D9473" s="2">
        <v>1</v>
      </c>
      <c r="E9473" t="str">
        <f>"4574674200975381"</f>
        <v>4574674200975381</v>
      </c>
      <c r="F9473" t="str">
        <f>"568"</f>
        <v>568</v>
      </c>
      <c r="G9473">
        <v>1</v>
      </c>
      <c r="H9473">
        <v>2023</v>
      </c>
      <c r="I9473" t="s">
        <v>9588</v>
      </c>
    </row>
    <row r="9474" spans="1:9" x14ac:dyDescent="0.3">
      <c r="A9474" t="s">
        <v>10128</v>
      </c>
      <c r="B9474" t="s">
        <v>105</v>
      </c>
      <c r="C9474">
        <v>9406582649</v>
      </c>
      <c r="D9474" s="2">
        <v>1</v>
      </c>
      <c r="E9474" t="str">
        <f>"4574674200975399"</f>
        <v>4574674200975399</v>
      </c>
      <c r="F9474" t="str">
        <f>"883"</f>
        <v>883</v>
      </c>
      <c r="G9474">
        <v>1</v>
      </c>
      <c r="H9474">
        <v>2023</v>
      </c>
      <c r="I9474" t="s">
        <v>9589</v>
      </c>
    </row>
    <row r="9475" spans="1:9" x14ac:dyDescent="0.3">
      <c r="A9475" t="s">
        <v>10128</v>
      </c>
      <c r="B9475" t="s">
        <v>105</v>
      </c>
      <c r="C9475">
        <v>9406582649</v>
      </c>
      <c r="D9475" s="2">
        <v>1</v>
      </c>
      <c r="E9475" t="str">
        <f>"4574674200975621"</f>
        <v>4574674200975621</v>
      </c>
      <c r="F9475" t="str">
        <f>"924"</f>
        <v>924</v>
      </c>
      <c r="G9475">
        <v>1</v>
      </c>
      <c r="H9475">
        <v>2023</v>
      </c>
      <c r="I9475" t="s">
        <v>9590</v>
      </c>
    </row>
    <row r="9476" spans="1:9" x14ac:dyDescent="0.3">
      <c r="A9476" t="s">
        <v>10129</v>
      </c>
      <c r="B9476" t="s">
        <v>106</v>
      </c>
      <c r="C9476">
        <v>9406582649</v>
      </c>
      <c r="D9476" s="2">
        <v>1</v>
      </c>
      <c r="E9476" t="str">
        <f>"4574674200975613"</f>
        <v>4574674200975613</v>
      </c>
      <c r="F9476" t="str">
        <f>"932"</f>
        <v>932</v>
      </c>
      <c r="G9476">
        <v>1</v>
      </c>
      <c r="H9476">
        <v>2023</v>
      </c>
      <c r="I9476" t="s">
        <v>9591</v>
      </c>
    </row>
    <row r="9477" spans="1:9" x14ac:dyDescent="0.3">
      <c r="A9477" t="s">
        <v>10129</v>
      </c>
      <c r="B9477" t="s">
        <v>106</v>
      </c>
      <c r="C9477">
        <v>9406582649</v>
      </c>
      <c r="D9477" s="2">
        <v>1</v>
      </c>
      <c r="E9477" t="str">
        <f>"4574674200975670"</f>
        <v>4574674200975670</v>
      </c>
      <c r="F9477" t="str">
        <f>"511"</f>
        <v>511</v>
      </c>
      <c r="G9477">
        <v>1</v>
      </c>
      <c r="H9477">
        <v>2023</v>
      </c>
      <c r="I9477" t="s">
        <v>9592</v>
      </c>
    </row>
    <row r="9478" spans="1:9" x14ac:dyDescent="0.3">
      <c r="A9478" t="s">
        <v>10129</v>
      </c>
      <c r="B9478" t="s">
        <v>106</v>
      </c>
      <c r="C9478">
        <v>9406582649</v>
      </c>
      <c r="D9478" s="2">
        <v>1</v>
      </c>
      <c r="E9478" t="str">
        <f>"4574674200975688"</f>
        <v>4574674200975688</v>
      </c>
      <c r="F9478" t="str">
        <f>"778"</f>
        <v>778</v>
      </c>
      <c r="G9478">
        <v>1</v>
      </c>
      <c r="H9478">
        <v>2023</v>
      </c>
      <c r="I9478" t="s">
        <v>9593</v>
      </c>
    </row>
    <row r="9479" spans="1:9" x14ac:dyDescent="0.3">
      <c r="A9479" t="s">
        <v>10129</v>
      </c>
      <c r="B9479" t="s">
        <v>106</v>
      </c>
      <c r="C9479">
        <v>9406582649</v>
      </c>
      <c r="D9479" s="2">
        <v>1</v>
      </c>
      <c r="E9479" t="str">
        <f>"4574674200975423"</f>
        <v>4574674200975423</v>
      </c>
      <c r="F9479" t="str">
        <f>"409"</f>
        <v>409</v>
      </c>
      <c r="G9479">
        <v>1</v>
      </c>
      <c r="H9479">
        <v>2023</v>
      </c>
      <c r="I9479" t="s">
        <v>9594</v>
      </c>
    </row>
    <row r="9480" spans="1:9" x14ac:dyDescent="0.3">
      <c r="A9480" t="s">
        <v>10129</v>
      </c>
      <c r="B9480" t="s">
        <v>106</v>
      </c>
      <c r="C9480">
        <v>9406582649</v>
      </c>
      <c r="D9480" s="2">
        <v>1</v>
      </c>
      <c r="E9480" t="str">
        <f>"4574674200975431"</f>
        <v>4574674200975431</v>
      </c>
      <c r="F9480" t="str">
        <f>"186"</f>
        <v>186</v>
      </c>
      <c r="G9480">
        <v>1</v>
      </c>
      <c r="H9480">
        <v>2023</v>
      </c>
      <c r="I9480" t="s">
        <v>9595</v>
      </c>
    </row>
    <row r="9481" spans="1:9" x14ac:dyDescent="0.3">
      <c r="A9481" t="s">
        <v>10129</v>
      </c>
      <c r="B9481" t="s">
        <v>106</v>
      </c>
      <c r="C9481">
        <v>9406582649</v>
      </c>
      <c r="D9481" s="2">
        <v>1</v>
      </c>
      <c r="E9481" t="str">
        <f>"4574674200975704"</f>
        <v>4574674200975704</v>
      </c>
      <c r="F9481" t="str">
        <f>"061"</f>
        <v>061</v>
      </c>
      <c r="G9481">
        <v>1</v>
      </c>
      <c r="H9481">
        <v>2023</v>
      </c>
      <c r="I9481" t="s">
        <v>9596</v>
      </c>
    </row>
    <row r="9482" spans="1:9" x14ac:dyDescent="0.3">
      <c r="A9482" t="s">
        <v>10129</v>
      </c>
      <c r="B9482" t="s">
        <v>106</v>
      </c>
      <c r="C9482">
        <v>9406582649</v>
      </c>
      <c r="D9482" s="2">
        <v>1</v>
      </c>
      <c r="E9482" t="str">
        <f>"4574674200975712"</f>
        <v>4574674200975712</v>
      </c>
      <c r="F9482" t="str">
        <f>"767"</f>
        <v>767</v>
      </c>
      <c r="G9482">
        <v>1</v>
      </c>
      <c r="H9482">
        <v>2023</v>
      </c>
      <c r="I9482" t="s">
        <v>9597</v>
      </c>
    </row>
    <row r="9483" spans="1:9" x14ac:dyDescent="0.3">
      <c r="A9483" t="s">
        <v>10129</v>
      </c>
      <c r="B9483" t="s">
        <v>106</v>
      </c>
      <c r="C9483">
        <v>9406582649</v>
      </c>
      <c r="D9483" s="2">
        <v>1</v>
      </c>
      <c r="E9483" t="str">
        <f>"4574674200975746"</f>
        <v>4574674200975746</v>
      </c>
      <c r="F9483" t="str">
        <f>"903"</f>
        <v>903</v>
      </c>
      <c r="G9483">
        <v>1</v>
      </c>
      <c r="H9483">
        <v>2023</v>
      </c>
      <c r="I9483" t="s">
        <v>9598</v>
      </c>
    </row>
    <row r="9484" spans="1:9" x14ac:dyDescent="0.3">
      <c r="A9484" t="s">
        <v>10129</v>
      </c>
      <c r="B9484" t="s">
        <v>106</v>
      </c>
      <c r="C9484">
        <v>9406582649</v>
      </c>
      <c r="D9484" s="2">
        <v>1</v>
      </c>
      <c r="E9484" t="str">
        <f>"4574674200975787"</f>
        <v>4574674200975787</v>
      </c>
      <c r="F9484" t="str">
        <f>"487"</f>
        <v>487</v>
      </c>
      <c r="G9484">
        <v>1</v>
      </c>
      <c r="H9484">
        <v>2023</v>
      </c>
      <c r="I9484" t="s">
        <v>9599</v>
      </c>
    </row>
    <row r="9485" spans="1:9" x14ac:dyDescent="0.3">
      <c r="A9485" t="s">
        <v>10129</v>
      </c>
      <c r="B9485" t="s">
        <v>106</v>
      </c>
      <c r="C9485">
        <v>9406582649</v>
      </c>
      <c r="D9485" s="2">
        <v>1</v>
      </c>
      <c r="E9485" t="str">
        <f>"4574674200975761"</f>
        <v>4574674200975761</v>
      </c>
      <c r="F9485" t="str">
        <f>"176"</f>
        <v>176</v>
      </c>
      <c r="G9485">
        <v>1</v>
      </c>
      <c r="H9485">
        <v>2023</v>
      </c>
      <c r="I9485" t="s">
        <v>9600</v>
      </c>
    </row>
    <row r="9486" spans="1:9" x14ac:dyDescent="0.3">
      <c r="A9486" t="s">
        <v>10130</v>
      </c>
      <c r="B9486" t="s">
        <v>107</v>
      </c>
      <c r="C9486">
        <v>9406582649</v>
      </c>
      <c r="D9486" s="2">
        <v>1</v>
      </c>
      <c r="E9486" t="str">
        <f>"4574674200975464"</f>
        <v>4574674200975464</v>
      </c>
      <c r="F9486" t="str">
        <f>"231"</f>
        <v>231</v>
      </c>
      <c r="G9486">
        <v>1</v>
      </c>
      <c r="H9486">
        <v>2023</v>
      </c>
      <c r="I9486" t="s">
        <v>9601</v>
      </c>
    </row>
    <row r="9487" spans="1:9" x14ac:dyDescent="0.3">
      <c r="A9487" t="s">
        <v>10130</v>
      </c>
      <c r="B9487" t="s">
        <v>107</v>
      </c>
      <c r="C9487">
        <v>9406582649</v>
      </c>
      <c r="D9487" s="2">
        <v>1</v>
      </c>
      <c r="E9487" t="str">
        <f>"4574674200975480"</f>
        <v>4574674200975480</v>
      </c>
      <c r="F9487" t="str">
        <f>"974"</f>
        <v>974</v>
      </c>
      <c r="G9487">
        <v>1</v>
      </c>
      <c r="H9487">
        <v>2023</v>
      </c>
      <c r="I9487" t="s">
        <v>9602</v>
      </c>
    </row>
    <row r="9488" spans="1:9" x14ac:dyDescent="0.3">
      <c r="A9488" t="s">
        <v>10130</v>
      </c>
      <c r="B9488" t="s">
        <v>107</v>
      </c>
      <c r="C9488">
        <v>9406582649</v>
      </c>
      <c r="D9488" s="2">
        <v>1</v>
      </c>
      <c r="E9488" t="str">
        <f>"4574674200975845"</f>
        <v>4574674200975845</v>
      </c>
      <c r="F9488" t="str">
        <f>"391"</f>
        <v>391</v>
      </c>
      <c r="G9488">
        <v>1</v>
      </c>
      <c r="H9488">
        <v>2023</v>
      </c>
      <c r="I9488" t="s">
        <v>9603</v>
      </c>
    </row>
    <row r="9489" spans="1:9" x14ac:dyDescent="0.3">
      <c r="A9489" t="s">
        <v>10130</v>
      </c>
      <c r="B9489" t="s">
        <v>107</v>
      </c>
      <c r="C9489">
        <v>9406582649</v>
      </c>
      <c r="D9489" s="2">
        <v>1</v>
      </c>
      <c r="E9489" t="str">
        <f>"4574674200975803"</f>
        <v>4574674200975803</v>
      </c>
      <c r="F9489" t="str">
        <f>"327"</f>
        <v>327</v>
      </c>
      <c r="G9489">
        <v>1</v>
      </c>
      <c r="H9489">
        <v>2023</v>
      </c>
      <c r="I9489" t="s">
        <v>9604</v>
      </c>
    </row>
    <row r="9490" spans="1:9" x14ac:dyDescent="0.3">
      <c r="A9490" t="s">
        <v>10130</v>
      </c>
      <c r="B9490" t="s">
        <v>107</v>
      </c>
      <c r="C9490">
        <v>9406582649</v>
      </c>
      <c r="D9490" s="2">
        <v>1</v>
      </c>
      <c r="E9490" t="str">
        <f>"4574674200975795"</f>
        <v>4574674200975795</v>
      </c>
      <c r="F9490" t="str">
        <f>"705"</f>
        <v>705</v>
      </c>
      <c r="G9490">
        <v>1</v>
      </c>
      <c r="H9490">
        <v>2023</v>
      </c>
      <c r="I9490" t="s">
        <v>9605</v>
      </c>
    </row>
    <row r="9491" spans="1:9" x14ac:dyDescent="0.3">
      <c r="A9491" t="s">
        <v>10130</v>
      </c>
      <c r="B9491" t="s">
        <v>107</v>
      </c>
      <c r="C9491">
        <v>9406582649</v>
      </c>
      <c r="D9491" s="2">
        <v>1</v>
      </c>
      <c r="E9491" t="str">
        <f>"4574674200975860"</f>
        <v>4574674200975860</v>
      </c>
      <c r="F9491" t="str">
        <f>"744"</f>
        <v>744</v>
      </c>
      <c r="G9491">
        <v>1</v>
      </c>
      <c r="H9491">
        <v>2023</v>
      </c>
      <c r="I9491" t="s">
        <v>9606</v>
      </c>
    </row>
    <row r="9492" spans="1:9" x14ac:dyDescent="0.3">
      <c r="A9492" t="s">
        <v>10130</v>
      </c>
      <c r="B9492" t="s">
        <v>107</v>
      </c>
      <c r="C9492">
        <v>9406582649</v>
      </c>
      <c r="D9492" s="2">
        <v>1</v>
      </c>
      <c r="E9492" t="str">
        <f>"4574674200975886"</f>
        <v>4574674200975886</v>
      </c>
      <c r="F9492" t="str">
        <f>"860"</f>
        <v>860</v>
      </c>
      <c r="G9492">
        <v>1</v>
      </c>
      <c r="H9492">
        <v>2023</v>
      </c>
      <c r="I9492" t="s">
        <v>9607</v>
      </c>
    </row>
    <row r="9493" spans="1:9" x14ac:dyDescent="0.3">
      <c r="A9493" t="s">
        <v>10130</v>
      </c>
      <c r="B9493" t="s">
        <v>107</v>
      </c>
      <c r="C9493">
        <v>9406582649</v>
      </c>
      <c r="D9493" s="2">
        <v>1</v>
      </c>
      <c r="E9493" t="str">
        <f>"4574674200975498"</f>
        <v>4574674200975498</v>
      </c>
      <c r="F9493" t="str">
        <f>"060"</f>
        <v>060</v>
      </c>
      <c r="G9493">
        <v>1</v>
      </c>
      <c r="H9493">
        <v>2023</v>
      </c>
      <c r="I9493" t="s">
        <v>9608</v>
      </c>
    </row>
    <row r="9494" spans="1:9" x14ac:dyDescent="0.3">
      <c r="A9494" t="s">
        <v>10130</v>
      </c>
      <c r="B9494" t="s">
        <v>107</v>
      </c>
      <c r="C9494">
        <v>9406582649</v>
      </c>
      <c r="D9494" s="2">
        <v>1</v>
      </c>
      <c r="E9494" t="str">
        <f>"4574674200975522"</f>
        <v>4574674200975522</v>
      </c>
      <c r="F9494" t="str">
        <f>"491"</f>
        <v>491</v>
      </c>
      <c r="G9494">
        <v>1</v>
      </c>
      <c r="H9494">
        <v>2023</v>
      </c>
      <c r="I9494" t="s">
        <v>9609</v>
      </c>
    </row>
    <row r="9495" spans="1:9" x14ac:dyDescent="0.3">
      <c r="A9495" t="s">
        <v>10130</v>
      </c>
      <c r="B9495" t="s">
        <v>107</v>
      </c>
      <c r="C9495">
        <v>9406582649</v>
      </c>
      <c r="D9495" s="2">
        <v>1</v>
      </c>
      <c r="E9495" t="str">
        <f>"4574674200975902"</f>
        <v>4574674200975902</v>
      </c>
      <c r="F9495" t="str">
        <f>"723"</f>
        <v>723</v>
      </c>
      <c r="G9495">
        <v>1</v>
      </c>
      <c r="H9495">
        <v>2023</v>
      </c>
      <c r="I9495" t="s">
        <v>9610</v>
      </c>
    </row>
    <row r="9496" spans="1:9" x14ac:dyDescent="0.3">
      <c r="A9496" t="s">
        <v>10131</v>
      </c>
      <c r="B9496" t="s">
        <v>108</v>
      </c>
      <c r="C9496">
        <v>9406582649</v>
      </c>
      <c r="D9496" s="2">
        <v>1</v>
      </c>
      <c r="E9496" t="str">
        <f>"4574674200975928"</f>
        <v>4574674200975928</v>
      </c>
      <c r="F9496" t="str">
        <f>"403"</f>
        <v>403</v>
      </c>
      <c r="G9496">
        <v>1</v>
      </c>
      <c r="H9496">
        <v>2023</v>
      </c>
      <c r="I9496" t="s">
        <v>9611</v>
      </c>
    </row>
    <row r="9497" spans="1:9" x14ac:dyDescent="0.3">
      <c r="A9497" t="s">
        <v>10131</v>
      </c>
      <c r="B9497" t="s">
        <v>108</v>
      </c>
      <c r="C9497">
        <v>9406582649</v>
      </c>
      <c r="D9497" s="2">
        <v>1</v>
      </c>
      <c r="E9497" t="str">
        <f>"4574674200975936"</f>
        <v>4574674200975936</v>
      </c>
      <c r="F9497" t="str">
        <f>"359"</f>
        <v>359</v>
      </c>
      <c r="G9497">
        <v>1</v>
      </c>
      <c r="H9497">
        <v>2023</v>
      </c>
      <c r="I9497" t="s">
        <v>9612</v>
      </c>
    </row>
    <row r="9498" spans="1:9" x14ac:dyDescent="0.3">
      <c r="A9498" t="s">
        <v>10131</v>
      </c>
      <c r="B9498" t="s">
        <v>108</v>
      </c>
      <c r="C9498">
        <v>9406582649</v>
      </c>
      <c r="D9498" s="2">
        <v>1</v>
      </c>
      <c r="E9498" t="str">
        <f>"4574674200975910"</f>
        <v>4574674200975910</v>
      </c>
      <c r="F9498" t="str">
        <f>"436"</f>
        <v>436</v>
      </c>
      <c r="G9498">
        <v>1</v>
      </c>
      <c r="H9498">
        <v>2023</v>
      </c>
      <c r="I9498" t="s">
        <v>9613</v>
      </c>
    </row>
    <row r="9499" spans="1:9" x14ac:dyDescent="0.3">
      <c r="A9499" t="s">
        <v>10131</v>
      </c>
      <c r="B9499" t="s">
        <v>108</v>
      </c>
      <c r="C9499">
        <v>9406582649</v>
      </c>
      <c r="D9499" s="2">
        <v>1</v>
      </c>
      <c r="E9499" t="str">
        <f>"4574674200975951"</f>
        <v>4574674200975951</v>
      </c>
      <c r="F9499" t="str">
        <f>"683"</f>
        <v>683</v>
      </c>
      <c r="G9499">
        <v>1</v>
      </c>
      <c r="H9499">
        <v>2023</v>
      </c>
      <c r="I9499" t="s">
        <v>9614</v>
      </c>
    </row>
    <row r="9500" spans="1:9" x14ac:dyDescent="0.3">
      <c r="A9500" t="s">
        <v>10131</v>
      </c>
      <c r="B9500" t="s">
        <v>108</v>
      </c>
      <c r="C9500">
        <v>9406582649</v>
      </c>
      <c r="D9500" s="2">
        <v>1</v>
      </c>
      <c r="E9500" t="str">
        <f>"4574674200975555"</f>
        <v>4574674200975555</v>
      </c>
      <c r="F9500" t="str">
        <f>"686"</f>
        <v>686</v>
      </c>
      <c r="G9500">
        <v>1</v>
      </c>
      <c r="H9500">
        <v>2023</v>
      </c>
      <c r="I9500" t="s">
        <v>9615</v>
      </c>
    </row>
    <row r="9501" spans="1:9" x14ac:dyDescent="0.3">
      <c r="A9501" t="s">
        <v>10131</v>
      </c>
      <c r="B9501" t="s">
        <v>108</v>
      </c>
      <c r="C9501">
        <v>9406582649</v>
      </c>
      <c r="D9501" s="2">
        <v>1</v>
      </c>
      <c r="E9501" t="str">
        <f>"4574674200975563"</f>
        <v>4574674200975563</v>
      </c>
      <c r="F9501" t="str">
        <f>"100"</f>
        <v>100</v>
      </c>
      <c r="G9501">
        <v>1</v>
      </c>
      <c r="H9501">
        <v>2023</v>
      </c>
      <c r="I9501" t="s">
        <v>9616</v>
      </c>
    </row>
    <row r="9502" spans="1:9" x14ac:dyDescent="0.3">
      <c r="A9502" t="s">
        <v>10131</v>
      </c>
      <c r="B9502" t="s">
        <v>108</v>
      </c>
      <c r="C9502">
        <v>9406582649</v>
      </c>
      <c r="D9502" s="2">
        <v>1</v>
      </c>
      <c r="E9502" t="str">
        <f>"4574674200976058"</f>
        <v>4574674200976058</v>
      </c>
      <c r="F9502" t="str">
        <f>"979"</f>
        <v>979</v>
      </c>
      <c r="G9502">
        <v>1</v>
      </c>
      <c r="H9502">
        <v>2023</v>
      </c>
      <c r="I9502" t="s">
        <v>9617</v>
      </c>
    </row>
    <row r="9503" spans="1:9" x14ac:dyDescent="0.3">
      <c r="A9503" t="s">
        <v>10131</v>
      </c>
      <c r="B9503" t="s">
        <v>108</v>
      </c>
      <c r="C9503">
        <v>9406582649</v>
      </c>
      <c r="D9503" s="2">
        <v>1</v>
      </c>
      <c r="E9503" t="str">
        <f>"4574674200976074"</f>
        <v>4574674200976074</v>
      </c>
      <c r="F9503" t="str">
        <f>"497"</f>
        <v>497</v>
      </c>
      <c r="G9503">
        <v>1</v>
      </c>
      <c r="H9503">
        <v>2023</v>
      </c>
      <c r="I9503" t="s">
        <v>9618</v>
      </c>
    </row>
    <row r="9504" spans="1:9" x14ac:dyDescent="0.3">
      <c r="A9504" t="s">
        <v>10131</v>
      </c>
      <c r="B9504" t="s">
        <v>108</v>
      </c>
      <c r="C9504">
        <v>9406582649</v>
      </c>
      <c r="D9504" s="2">
        <v>1</v>
      </c>
      <c r="E9504" t="str">
        <f>"4574674200976066"</f>
        <v>4574674200976066</v>
      </c>
      <c r="F9504" t="str">
        <f>"467"</f>
        <v>467</v>
      </c>
      <c r="G9504">
        <v>1</v>
      </c>
      <c r="H9504">
        <v>2023</v>
      </c>
      <c r="I9504" t="s">
        <v>9619</v>
      </c>
    </row>
    <row r="9505" spans="1:9" x14ac:dyDescent="0.3">
      <c r="A9505" t="s">
        <v>10131</v>
      </c>
      <c r="B9505" t="s">
        <v>108</v>
      </c>
      <c r="C9505">
        <v>9406582649</v>
      </c>
      <c r="D9505" s="2">
        <v>1</v>
      </c>
      <c r="E9505" t="str">
        <f>"4574674200976033"</f>
        <v>4574674200976033</v>
      </c>
      <c r="F9505" t="str">
        <f>"424"</f>
        <v>424</v>
      </c>
      <c r="G9505">
        <v>1</v>
      </c>
      <c r="H9505">
        <v>2023</v>
      </c>
      <c r="I9505" t="s">
        <v>9620</v>
      </c>
    </row>
    <row r="9506" spans="1:9" x14ac:dyDescent="0.3">
      <c r="A9506" t="s">
        <v>10132</v>
      </c>
      <c r="B9506" t="s">
        <v>109</v>
      </c>
      <c r="C9506">
        <v>9406582649</v>
      </c>
      <c r="D9506" s="2">
        <v>1</v>
      </c>
      <c r="E9506" t="str">
        <f>"4574674200976041"</f>
        <v>4574674200976041</v>
      </c>
      <c r="F9506" t="str">
        <f>"386"</f>
        <v>386</v>
      </c>
      <c r="G9506">
        <v>1</v>
      </c>
      <c r="H9506">
        <v>2023</v>
      </c>
      <c r="I9506" t="s">
        <v>9621</v>
      </c>
    </row>
    <row r="9507" spans="1:9" x14ac:dyDescent="0.3">
      <c r="A9507" t="s">
        <v>10132</v>
      </c>
      <c r="B9507" t="s">
        <v>109</v>
      </c>
      <c r="C9507">
        <v>9406582649</v>
      </c>
      <c r="D9507" s="2">
        <v>1</v>
      </c>
      <c r="E9507" t="str">
        <f>"4574674200975597"</f>
        <v>4574674200975597</v>
      </c>
      <c r="F9507" t="str">
        <f>"779"</f>
        <v>779</v>
      </c>
      <c r="G9507">
        <v>1</v>
      </c>
      <c r="H9507">
        <v>2023</v>
      </c>
      <c r="I9507" t="s">
        <v>9622</v>
      </c>
    </row>
    <row r="9508" spans="1:9" x14ac:dyDescent="0.3">
      <c r="A9508" t="s">
        <v>10132</v>
      </c>
      <c r="B9508" t="s">
        <v>109</v>
      </c>
      <c r="C9508">
        <v>9406582649</v>
      </c>
      <c r="D9508" s="2">
        <v>1</v>
      </c>
      <c r="E9508" t="str">
        <f>"4574674200976090"</f>
        <v>4574674200976090</v>
      </c>
      <c r="F9508" t="str">
        <f>"385"</f>
        <v>385</v>
      </c>
      <c r="G9508">
        <v>1</v>
      </c>
      <c r="H9508">
        <v>2023</v>
      </c>
      <c r="I9508" t="s">
        <v>9623</v>
      </c>
    </row>
    <row r="9509" spans="1:9" x14ac:dyDescent="0.3">
      <c r="A9509" t="s">
        <v>10132</v>
      </c>
      <c r="B9509" t="s">
        <v>109</v>
      </c>
      <c r="C9509">
        <v>9406582649</v>
      </c>
      <c r="D9509" s="2">
        <v>1</v>
      </c>
      <c r="E9509" t="str">
        <f>"4574674200976108"</f>
        <v>4574674200976108</v>
      </c>
      <c r="F9509" t="str">
        <f>"813"</f>
        <v>813</v>
      </c>
      <c r="G9509">
        <v>1</v>
      </c>
      <c r="H9509">
        <v>2023</v>
      </c>
      <c r="I9509" t="s">
        <v>9624</v>
      </c>
    </row>
    <row r="9510" spans="1:9" x14ac:dyDescent="0.3">
      <c r="A9510" t="s">
        <v>10132</v>
      </c>
      <c r="B9510" t="s">
        <v>109</v>
      </c>
      <c r="C9510">
        <v>9406582649</v>
      </c>
      <c r="D9510" s="2">
        <v>1</v>
      </c>
      <c r="E9510" t="str">
        <f>"4574674200976140"</f>
        <v>4574674200976140</v>
      </c>
      <c r="F9510" t="str">
        <f>"438"</f>
        <v>438</v>
      </c>
      <c r="G9510">
        <v>1</v>
      </c>
      <c r="H9510">
        <v>2023</v>
      </c>
      <c r="I9510" t="s">
        <v>9625</v>
      </c>
    </row>
    <row r="9511" spans="1:9" x14ac:dyDescent="0.3">
      <c r="A9511" t="s">
        <v>10132</v>
      </c>
      <c r="B9511" t="s">
        <v>109</v>
      </c>
      <c r="C9511">
        <v>9406582649</v>
      </c>
      <c r="D9511" s="2">
        <v>1</v>
      </c>
      <c r="E9511" t="str">
        <f>"4574674200976157"</f>
        <v>4574674200976157</v>
      </c>
      <c r="F9511" t="str">
        <f>"210"</f>
        <v>210</v>
      </c>
      <c r="G9511">
        <v>1</v>
      </c>
      <c r="H9511">
        <v>2023</v>
      </c>
      <c r="I9511" t="s">
        <v>9626</v>
      </c>
    </row>
    <row r="9512" spans="1:9" x14ac:dyDescent="0.3">
      <c r="A9512" t="s">
        <v>10132</v>
      </c>
      <c r="B9512" t="s">
        <v>109</v>
      </c>
      <c r="C9512">
        <v>9406582649</v>
      </c>
      <c r="D9512" s="2">
        <v>1</v>
      </c>
      <c r="E9512" t="str">
        <f>"4574674200976181"</f>
        <v>4574674200976181</v>
      </c>
      <c r="F9512" t="str">
        <f>"568"</f>
        <v>568</v>
      </c>
      <c r="G9512">
        <v>1</v>
      </c>
      <c r="H9512">
        <v>2023</v>
      </c>
      <c r="I9512" t="s">
        <v>9627</v>
      </c>
    </row>
    <row r="9513" spans="1:9" x14ac:dyDescent="0.3">
      <c r="A9513" t="s">
        <v>10132</v>
      </c>
      <c r="B9513" t="s">
        <v>109</v>
      </c>
      <c r="C9513">
        <v>9406582649</v>
      </c>
      <c r="D9513" s="2">
        <v>1</v>
      </c>
      <c r="E9513" t="str">
        <f>"4574674200976207"</f>
        <v>4574674200976207</v>
      </c>
      <c r="F9513" t="str">
        <f>"165"</f>
        <v>165</v>
      </c>
      <c r="G9513">
        <v>1</v>
      </c>
      <c r="H9513">
        <v>2023</v>
      </c>
      <c r="I9513" t="s">
        <v>9628</v>
      </c>
    </row>
    <row r="9514" spans="1:9" x14ac:dyDescent="0.3">
      <c r="A9514" t="s">
        <v>10132</v>
      </c>
      <c r="B9514" t="s">
        <v>109</v>
      </c>
      <c r="C9514">
        <v>9406582649</v>
      </c>
      <c r="D9514" s="2">
        <v>1</v>
      </c>
      <c r="E9514" t="str">
        <f>"4574674200976454"</f>
        <v>4574674200976454</v>
      </c>
      <c r="F9514" t="str">
        <f>"913"</f>
        <v>913</v>
      </c>
      <c r="G9514">
        <v>1</v>
      </c>
      <c r="H9514">
        <v>2023</v>
      </c>
      <c r="I9514" t="s">
        <v>9629</v>
      </c>
    </row>
    <row r="9515" spans="1:9" x14ac:dyDescent="0.3">
      <c r="A9515" t="s">
        <v>10132</v>
      </c>
      <c r="B9515" t="s">
        <v>109</v>
      </c>
      <c r="C9515">
        <v>9406582649</v>
      </c>
      <c r="D9515" s="2">
        <v>1</v>
      </c>
      <c r="E9515" t="str">
        <f>"4574674200976199"</f>
        <v>4574674200976199</v>
      </c>
      <c r="F9515" t="str">
        <f>"735"</f>
        <v>735</v>
      </c>
      <c r="G9515">
        <v>1</v>
      </c>
      <c r="H9515">
        <v>2023</v>
      </c>
      <c r="I9515" t="s">
        <v>9630</v>
      </c>
    </row>
    <row r="9516" spans="1:9" x14ac:dyDescent="0.3">
      <c r="A9516" t="s">
        <v>10133</v>
      </c>
      <c r="B9516" t="s">
        <v>110</v>
      </c>
      <c r="C9516">
        <v>9406980470</v>
      </c>
      <c r="D9516" s="2">
        <v>1</v>
      </c>
      <c r="E9516" t="str">
        <f>"4574674200976405"</f>
        <v>4574674200976405</v>
      </c>
      <c r="F9516" t="str">
        <f>"243"</f>
        <v>243</v>
      </c>
      <c r="G9516">
        <v>1</v>
      </c>
      <c r="H9516">
        <v>2023</v>
      </c>
      <c r="I9516" t="s">
        <v>9631</v>
      </c>
    </row>
    <row r="9517" spans="1:9" x14ac:dyDescent="0.3">
      <c r="A9517" t="s">
        <v>10133</v>
      </c>
      <c r="B9517" t="s">
        <v>110</v>
      </c>
      <c r="C9517">
        <v>9406980470</v>
      </c>
      <c r="D9517" s="2">
        <v>1</v>
      </c>
      <c r="E9517" t="str">
        <f>"4574674200976439"</f>
        <v>4574674200976439</v>
      </c>
      <c r="F9517" t="str">
        <f>"665"</f>
        <v>665</v>
      </c>
      <c r="G9517">
        <v>1</v>
      </c>
      <c r="H9517">
        <v>2023</v>
      </c>
      <c r="I9517" t="s">
        <v>9632</v>
      </c>
    </row>
    <row r="9518" spans="1:9" x14ac:dyDescent="0.3">
      <c r="A9518" t="s">
        <v>10133</v>
      </c>
      <c r="B9518" t="s">
        <v>110</v>
      </c>
      <c r="C9518">
        <v>9406980470</v>
      </c>
      <c r="D9518" s="2">
        <v>1</v>
      </c>
      <c r="E9518" t="str">
        <f>"4574674200976470"</f>
        <v>4574674200976470</v>
      </c>
      <c r="F9518" t="str">
        <f>"657"</f>
        <v>657</v>
      </c>
      <c r="G9518">
        <v>1</v>
      </c>
      <c r="H9518">
        <v>2023</v>
      </c>
      <c r="I9518" t="s">
        <v>9633</v>
      </c>
    </row>
    <row r="9519" spans="1:9" x14ac:dyDescent="0.3">
      <c r="A9519" t="s">
        <v>10133</v>
      </c>
      <c r="B9519" t="s">
        <v>110</v>
      </c>
      <c r="C9519">
        <v>9406980470</v>
      </c>
      <c r="D9519" s="2">
        <v>1</v>
      </c>
      <c r="E9519" t="str">
        <f>"4574674200976231"</f>
        <v>4574674200976231</v>
      </c>
      <c r="F9519" t="str">
        <f>"851"</f>
        <v>851</v>
      </c>
      <c r="G9519">
        <v>1</v>
      </c>
      <c r="H9519">
        <v>2023</v>
      </c>
      <c r="I9519" t="s">
        <v>9634</v>
      </c>
    </row>
    <row r="9520" spans="1:9" x14ac:dyDescent="0.3">
      <c r="A9520" t="s">
        <v>10133</v>
      </c>
      <c r="B9520" t="s">
        <v>110</v>
      </c>
      <c r="C9520">
        <v>9406980470</v>
      </c>
      <c r="D9520" s="2">
        <v>1</v>
      </c>
      <c r="E9520" t="str">
        <f>"4574674200976249"</f>
        <v>4574674200976249</v>
      </c>
      <c r="F9520" t="str">
        <f>"230"</f>
        <v>230</v>
      </c>
      <c r="G9520">
        <v>1</v>
      </c>
      <c r="H9520">
        <v>2023</v>
      </c>
      <c r="I9520" t="s">
        <v>9635</v>
      </c>
    </row>
    <row r="9521" spans="1:9" x14ac:dyDescent="0.3">
      <c r="A9521" t="s">
        <v>10133</v>
      </c>
      <c r="B9521" t="s">
        <v>110</v>
      </c>
      <c r="C9521">
        <v>9406980470</v>
      </c>
      <c r="D9521" s="2">
        <v>1</v>
      </c>
      <c r="E9521" t="str">
        <f>"4574674200976504"</f>
        <v>4574674200976504</v>
      </c>
      <c r="F9521" t="str">
        <f>"529"</f>
        <v>529</v>
      </c>
      <c r="G9521">
        <v>1</v>
      </c>
      <c r="H9521">
        <v>2023</v>
      </c>
      <c r="I9521" t="s">
        <v>9636</v>
      </c>
    </row>
    <row r="9522" spans="1:9" x14ac:dyDescent="0.3">
      <c r="A9522" t="s">
        <v>10133</v>
      </c>
      <c r="B9522" t="s">
        <v>110</v>
      </c>
      <c r="C9522">
        <v>9406980470</v>
      </c>
      <c r="D9522" s="2">
        <v>1</v>
      </c>
      <c r="E9522" t="str">
        <f>"4574674200976496"</f>
        <v>4574674200976496</v>
      </c>
      <c r="F9522" t="str">
        <f>"204"</f>
        <v>204</v>
      </c>
      <c r="G9522">
        <v>1</v>
      </c>
      <c r="H9522">
        <v>2023</v>
      </c>
      <c r="I9522" t="s">
        <v>9637</v>
      </c>
    </row>
    <row r="9523" spans="1:9" x14ac:dyDescent="0.3">
      <c r="A9523" t="s">
        <v>10133</v>
      </c>
      <c r="B9523" t="s">
        <v>110</v>
      </c>
      <c r="C9523">
        <v>9406980470</v>
      </c>
      <c r="D9523" s="2">
        <v>1</v>
      </c>
      <c r="E9523" t="str">
        <f>"4574674200976546"</f>
        <v>4574674200976546</v>
      </c>
      <c r="F9523" t="str">
        <f>"322"</f>
        <v>322</v>
      </c>
      <c r="G9523">
        <v>1</v>
      </c>
      <c r="H9523">
        <v>2023</v>
      </c>
      <c r="I9523" t="s">
        <v>9638</v>
      </c>
    </row>
    <row r="9524" spans="1:9" x14ac:dyDescent="0.3">
      <c r="A9524" t="s">
        <v>10133</v>
      </c>
      <c r="B9524" t="s">
        <v>110</v>
      </c>
      <c r="C9524">
        <v>9406980470</v>
      </c>
      <c r="D9524" s="2">
        <v>1</v>
      </c>
      <c r="E9524" t="str">
        <f>"4574674200976520"</f>
        <v>4574674200976520</v>
      </c>
      <c r="F9524" t="str">
        <f>"327"</f>
        <v>327</v>
      </c>
      <c r="G9524">
        <v>1</v>
      </c>
      <c r="H9524">
        <v>2023</v>
      </c>
      <c r="I9524" t="s">
        <v>9639</v>
      </c>
    </row>
    <row r="9525" spans="1:9" x14ac:dyDescent="0.3">
      <c r="A9525" t="s">
        <v>10133</v>
      </c>
      <c r="B9525" t="s">
        <v>110</v>
      </c>
      <c r="C9525">
        <v>9406980470</v>
      </c>
      <c r="D9525" s="2">
        <v>1</v>
      </c>
      <c r="E9525" t="str">
        <f>"4574674200976587"</f>
        <v>4574674200976587</v>
      </c>
      <c r="F9525" t="str">
        <f>"104"</f>
        <v>104</v>
      </c>
      <c r="G9525">
        <v>1</v>
      </c>
      <c r="H9525">
        <v>2023</v>
      </c>
      <c r="I9525" t="s">
        <v>9640</v>
      </c>
    </row>
    <row r="9526" spans="1:9" x14ac:dyDescent="0.3">
      <c r="A9526" t="s">
        <v>10134</v>
      </c>
      <c r="B9526" t="s">
        <v>111</v>
      </c>
      <c r="C9526">
        <v>9406980470</v>
      </c>
      <c r="D9526" s="2">
        <v>1</v>
      </c>
      <c r="E9526" t="str">
        <f>"4574674200976272"</f>
        <v>4574674200976272</v>
      </c>
      <c r="F9526" t="str">
        <f>"581"</f>
        <v>581</v>
      </c>
      <c r="G9526">
        <v>1</v>
      </c>
      <c r="H9526">
        <v>2023</v>
      </c>
      <c r="I9526" t="s">
        <v>9641</v>
      </c>
    </row>
    <row r="9527" spans="1:9" x14ac:dyDescent="0.3">
      <c r="A9527" t="s">
        <v>10134</v>
      </c>
      <c r="B9527" t="s">
        <v>111</v>
      </c>
      <c r="C9527">
        <v>9406980470</v>
      </c>
      <c r="D9527" s="2">
        <v>1</v>
      </c>
      <c r="E9527" t="str">
        <f>"4574674200976280"</f>
        <v>4574674200976280</v>
      </c>
      <c r="F9527" t="str">
        <f>"570"</f>
        <v>570</v>
      </c>
      <c r="G9527">
        <v>1</v>
      </c>
      <c r="H9527">
        <v>2023</v>
      </c>
      <c r="I9527" t="s">
        <v>9642</v>
      </c>
    </row>
    <row r="9528" spans="1:9" x14ac:dyDescent="0.3">
      <c r="A9528" t="s">
        <v>10134</v>
      </c>
      <c r="B9528" t="s">
        <v>111</v>
      </c>
      <c r="C9528">
        <v>9406980470</v>
      </c>
      <c r="D9528" s="2">
        <v>1</v>
      </c>
      <c r="E9528" t="str">
        <f>"4574674200976603"</f>
        <v>4574674200976603</v>
      </c>
      <c r="F9528" t="str">
        <f>"572"</f>
        <v>572</v>
      </c>
      <c r="G9528">
        <v>1</v>
      </c>
      <c r="H9528">
        <v>2023</v>
      </c>
      <c r="I9528" t="s">
        <v>9643</v>
      </c>
    </row>
    <row r="9529" spans="1:9" x14ac:dyDescent="0.3">
      <c r="A9529" t="s">
        <v>10134</v>
      </c>
      <c r="B9529" t="s">
        <v>111</v>
      </c>
      <c r="C9529">
        <v>9406980470</v>
      </c>
      <c r="D9529" s="2">
        <v>1</v>
      </c>
      <c r="E9529" t="str">
        <f>"4574674200976595"</f>
        <v>4574674200976595</v>
      </c>
      <c r="F9529" t="str">
        <f>"334"</f>
        <v>334</v>
      </c>
      <c r="G9529">
        <v>1</v>
      </c>
      <c r="H9529">
        <v>2023</v>
      </c>
      <c r="I9529" t="s">
        <v>9644</v>
      </c>
    </row>
    <row r="9530" spans="1:9" x14ac:dyDescent="0.3">
      <c r="A9530" t="s">
        <v>10134</v>
      </c>
      <c r="B9530" t="s">
        <v>111</v>
      </c>
      <c r="C9530">
        <v>9406980470</v>
      </c>
      <c r="D9530" s="2">
        <v>1</v>
      </c>
      <c r="E9530" t="str">
        <f>"4574674200976611"</f>
        <v>4574674200976611</v>
      </c>
      <c r="F9530" t="str">
        <f>"381"</f>
        <v>381</v>
      </c>
      <c r="G9530">
        <v>1</v>
      </c>
      <c r="H9530">
        <v>2023</v>
      </c>
      <c r="I9530" t="s">
        <v>9645</v>
      </c>
    </row>
    <row r="9531" spans="1:9" x14ac:dyDescent="0.3">
      <c r="A9531" t="s">
        <v>10134</v>
      </c>
      <c r="B9531" t="s">
        <v>111</v>
      </c>
      <c r="C9531">
        <v>9406980470</v>
      </c>
      <c r="D9531" s="2">
        <v>1</v>
      </c>
      <c r="E9531" t="str">
        <f>"4574674200976637"</f>
        <v>4574674200976637</v>
      </c>
      <c r="F9531" t="str">
        <f>"565"</f>
        <v>565</v>
      </c>
      <c r="G9531">
        <v>1</v>
      </c>
      <c r="H9531">
        <v>2023</v>
      </c>
      <c r="I9531" t="s">
        <v>9646</v>
      </c>
    </row>
    <row r="9532" spans="1:9" x14ac:dyDescent="0.3">
      <c r="A9532" t="s">
        <v>10134</v>
      </c>
      <c r="B9532" t="s">
        <v>111</v>
      </c>
      <c r="C9532">
        <v>9406980470</v>
      </c>
      <c r="D9532" s="2">
        <v>1</v>
      </c>
      <c r="E9532" t="str">
        <f>"4574674200976660"</f>
        <v>4574674200976660</v>
      </c>
      <c r="F9532" t="str">
        <f>"939"</f>
        <v>939</v>
      </c>
      <c r="G9532">
        <v>1</v>
      </c>
      <c r="H9532">
        <v>2023</v>
      </c>
      <c r="I9532" t="s">
        <v>9647</v>
      </c>
    </row>
    <row r="9533" spans="1:9" x14ac:dyDescent="0.3">
      <c r="A9533" t="s">
        <v>10134</v>
      </c>
      <c r="B9533" t="s">
        <v>111</v>
      </c>
      <c r="C9533">
        <v>9406980470</v>
      </c>
      <c r="D9533" s="2">
        <v>1</v>
      </c>
      <c r="E9533" t="str">
        <f>"4574674200976736"</f>
        <v>4574674200976736</v>
      </c>
      <c r="F9533" t="str">
        <f>"407"</f>
        <v>407</v>
      </c>
      <c r="G9533">
        <v>1</v>
      </c>
      <c r="H9533">
        <v>2023</v>
      </c>
      <c r="I9533" t="s">
        <v>9648</v>
      </c>
    </row>
    <row r="9534" spans="1:9" x14ac:dyDescent="0.3">
      <c r="A9534" t="s">
        <v>10134</v>
      </c>
      <c r="B9534" t="s">
        <v>111</v>
      </c>
      <c r="C9534">
        <v>9406980470</v>
      </c>
      <c r="D9534" s="2">
        <v>1</v>
      </c>
      <c r="E9534" t="str">
        <f>"4574674200976744"</f>
        <v>4574674200976744</v>
      </c>
      <c r="F9534" t="str">
        <f>"106"</f>
        <v>106</v>
      </c>
      <c r="G9534">
        <v>1</v>
      </c>
      <c r="H9534">
        <v>2023</v>
      </c>
      <c r="I9534" t="s">
        <v>9649</v>
      </c>
    </row>
    <row r="9535" spans="1:9" x14ac:dyDescent="0.3">
      <c r="A9535" t="s">
        <v>10134</v>
      </c>
      <c r="B9535" t="s">
        <v>111</v>
      </c>
      <c r="C9535">
        <v>9406980470</v>
      </c>
      <c r="D9535" s="2">
        <v>1</v>
      </c>
      <c r="E9535" t="str">
        <f>"4574674200976728"</f>
        <v>4574674200976728</v>
      </c>
      <c r="F9535" t="str">
        <f>"915"</f>
        <v>915</v>
      </c>
      <c r="G9535">
        <v>1</v>
      </c>
      <c r="H9535">
        <v>2023</v>
      </c>
      <c r="I9535" t="s">
        <v>9650</v>
      </c>
    </row>
    <row r="9536" spans="1:9" x14ac:dyDescent="0.3">
      <c r="A9536" t="s">
        <v>10135</v>
      </c>
      <c r="B9536" t="s">
        <v>112</v>
      </c>
      <c r="C9536">
        <v>9406980470</v>
      </c>
      <c r="D9536" s="2">
        <v>1</v>
      </c>
      <c r="E9536" t="str">
        <f>"4574674200976751"</f>
        <v>4574674200976751</v>
      </c>
      <c r="F9536" t="str">
        <f>"693"</f>
        <v>693</v>
      </c>
      <c r="G9536">
        <v>1</v>
      </c>
      <c r="H9536">
        <v>2023</v>
      </c>
      <c r="I9536" t="s">
        <v>9651</v>
      </c>
    </row>
    <row r="9537" spans="1:9" x14ac:dyDescent="0.3">
      <c r="A9537" t="s">
        <v>10135</v>
      </c>
      <c r="B9537" t="s">
        <v>112</v>
      </c>
      <c r="C9537">
        <v>9406980470</v>
      </c>
      <c r="D9537" s="2">
        <v>1</v>
      </c>
      <c r="E9537" t="str">
        <f>"4574674200976322"</f>
        <v>4574674200976322</v>
      </c>
      <c r="F9537" t="str">
        <f>"143"</f>
        <v>143</v>
      </c>
      <c r="G9537">
        <v>1</v>
      </c>
      <c r="H9537">
        <v>2023</v>
      </c>
      <c r="I9537" t="s">
        <v>9652</v>
      </c>
    </row>
    <row r="9538" spans="1:9" x14ac:dyDescent="0.3">
      <c r="A9538" t="s">
        <v>10135</v>
      </c>
      <c r="B9538" t="s">
        <v>112</v>
      </c>
      <c r="C9538">
        <v>9406980470</v>
      </c>
      <c r="D9538" s="2">
        <v>1</v>
      </c>
      <c r="E9538" t="str">
        <f>"4574674200976330"</f>
        <v>4574674200976330</v>
      </c>
      <c r="F9538" t="str">
        <f>"613"</f>
        <v>613</v>
      </c>
      <c r="G9538">
        <v>1</v>
      </c>
      <c r="H9538">
        <v>2023</v>
      </c>
      <c r="I9538" t="s">
        <v>9653</v>
      </c>
    </row>
    <row r="9539" spans="1:9" x14ac:dyDescent="0.3">
      <c r="A9539" t="s">
        <v>10135</v>
      </c>
      <c r="B9539" t="s">
        <v>112</v>
      </c>
      <c r="C9539">
        <v>9406980470</v>
      </c>
      <c r="D9539" s="2">
        <v>1</v>
      </c>
      <c r="E9539" t="str">
        <f>"4574674200976785"</f>
        <v>4574674200976785</v>
      </c>
      <c r="F9539" t="str">
        <f>"746"</f>
        <v>746</v>
      </c>
      <c r="G9539">
        <v>1</v>
      </c>
      <c r="H9539">
        <v>2023</v>
      </c>
      <c r="I9539" t="s">
        <v>9654</v>
      </c>
    </row>
    <row r="9540" spans="1:9" x14ac:dyDescent="0.3">
      <c r="A9540" t="s">
        <v>10135</v>
      </c>
      <c r="B9540" t="s">
        <v>112</v>
      </c>
      <c r="C9540">
        <v>9406980470</v>
      </c>
      <c r="D9540" s="2">
        <v>1</v>
      </c>
      <c r="E9540" t="str">
        <f>"4574674200976793"</f>
        <v>4574674200976793</v>
      </c>
      <c r="F9540" t="str">
        <f>"080"</f>
        <v>080</v>
      </c>
      <c r="G9540">
        <v>1</v>
      </c>
      <c r="H9540">
        <v>2023</v>
      </c>
      <c r="I9540" t="s">
        <v>9655</v>
      </c>
    </row>
    <row r="9541" spans="1:9" x14ac:dyDescent="0.3">
      <c r="A9541" t="s">
        <v>10135</v>
      </c>
      <c r="B9541" t="s">
        <v>112</v>
      </c>
      <c r="C9541">
        <v>9406980470</v>
      </c>
      <c r="D9541" s="2">
        <v>1</v>
      </c>
      <c r="E9541" t="str">
        <f>"4574674200976819"</f>
        <v>4574674200976819</v>
      </c>
      <c r="F9541" t="str">
        <f>"638"</f>
        <v>638</v>
      </c>
      <c r="G9541">
        <v>1</v>
      </c>
      <c r="H9541">
        <v>2023</v>
      </c>
      <c r="I9541" t="s">
        <v>9656</v>
      </c>
    </row>
    <row r="9542" spans="1:9" x14ac:dyDescent="0.3">
      <c r="A9542" t="s">
        <v>10135</v>
      </c>
      <c r="B9542" t="s">
        <v>112</v>
      </c>
      <c r="C9542">
        <v>9406980470</v>
      </c>
      <c r="D9542" s="2">
        <v>1</v>
      </c>
      <c r="E9542" t="str">
        <f>"4574674200976827"</f>
        <v>4574674200976827</v>
      </c>
      <c r="F9542" t="str">
        <f>"887"</f>
        <v>887</v>
      </c>
      <c r="G9542">
        <v>1</v>
      </c>
      <c r="H9542">
        <v>2023</v>
      </c>
      <c r="I9542" t="s">
        <v>9657</v>
      </c>
    </row>
    <row r="9543" spans="1:9" x14ac:dyDescent="0.3">
      <c r="A9543" t="s">
        <v>10135</v>
      </c>
      <c r="B9543" t="s">
        <v>112</v>
      </c>
      <c r="C9543">
        <v>9406980470</v>
      </c>
      <c r="D9543" s="2">
        <v>1</v>
      </c>
      <c r="E9543" t="str">
        <f>"4574674200976868"</f>
        <v>4574674200976868</v>
      </c>
      <c r="F9543" t="str">
        <f>"875"</f>
        <v>875</v>
      </c>
      <c r="G9543">
        <v>1</v>
      </c>
      <c r="H9543">
        <v>2023</v>
      </c>
      <c r="I9543" t="s">
        <v>9658</v>
      </c>
    </row>
    <row r="9544" spans="1:9" x14ac:dyDescent="0.3">
      <c r="A9544" t="s">
        <v>10135</v>
      </c>
      <c r="B9544" t="s">
        <v>112</v>
      </c>
      <c r="C9544">
        <v>9406980470</v>
      </c>
      <c r="D9544" s="2">
        <v>1</v>
      </c>
      <c r="E9544" t="str">
        <f>"4574674200976884"</f>
        <v>4574674200976884</v>
      </c>
      <c r="F9544" t="str">
        <f>"237"</f>
        <v>237</v>
      </c>
      <c r="G9544">
        <v>1</v>
      </c>
      <c r="H9544">
        <v>2023</v>
      </c>
      <c r="I9544" t="s">
        <v>9659</v>
      </c>
    </row>
    <row r="9545" spans="1:9" x14ac:dyDescent="0.3">
      <c r="A9545" t="s">
        <v>10135</v>
      </c>
      <c r="B9545" t="s">
        <v>112</v>
      </c>
      <c r="C9545">
        <v>9406980470</v>
      </c>
      <c r="D9545" s="2">
        <v>1</v>
      </c>
      <c r="E9545" t="str">
        <f>"4574674200976900"</f>
        <v>4574674200976900</v>
      </c>
      <c r="F9545" t="str">
        <f>"140"</f>
        <v>140</v>
      </c>
      <c r="G9545">
        <v>1</v>
      </c>
      <c r="H9545">
        <v>2023</v>
      </c>
      <c r="I9545" t="s">
        <v>9660</v>
      </c>
    </row>
    <row r="9546" spans="1:9" x14ac:dyDescent="0.3">
      <c r="A9546" t="s">
        <v>10136</v>
      </c>
      <c r="B9546" t="s">
        <v>113</v>
      </c>
      <c r="C9546">
        <v>9406980470</v>
      </c>
      <c r="D9546" s="2">
        <v>1</v>
      </c>
      <c r="E9546" t="str">
        <f>"4574674200976959"</f>
        <v>4574674200976959</v>
      </c>
      <c r="F9546" t="str">
        <f>"918"</f>
        <v>918</v>
      </c>
      <c r="G9546">
        <v>1</v>
      </c>
      <c r="H9546">
        <v>2023</v>
      </c>
      <c r="I9546" t="s">
        <v>9661</v>
      </c>
    </row>
    <row r="9547" spans="1:9" x14ac:dyDescent="0.3">
      <c r="A9547" t="s">
        <v>10136</v>
      </c>
      <c r="B9547" t="s">
        <v>113</v>
      </c>
      <c r="C9547">
        <v>9406980470</v>
      </c>
      <c r="D9547" s="2">
        <v>1</v>
      </c>
      <c r="E9547" t="str">
        <f>"4574674200976363"</f>
        <v>4574674200976363</v>
      </c>
      <c r="F9547" t="str">
        <f>"710"</f>
        <v>710</v>
      </c>
      <c r="G9547">
        <v>1</v>
      </c>
      <c r="H9547">
        <v>2023</v>
      </c>
      <c r="I9547" t="s">
        <v>9662</v>
      </c>
    </row>
    <row r="9548" spans="1:9" x14ac:dyDescent="0.3">
      <c r="A9548" t="s">
        <v>10136</v>
      </c>
      <c r="B9548" t="s">
        <v>113</v>
      </c>
      <c r="C9548">
        <v>9406980470</v>
      </c>
      <c r="D9548" s="2">
        <v>1</v>
      </c>
      <c r="E9548" t="str">
        <f>"4574674200976371"</f>
        <v>4574674200976371</v>
      </c>
      <c r="F9548" t="str">
        <f>"732"</f>
        <v>732</v>
      </c>
      <c r="G9548">
        <v>1</v>
      </c>
      <c r="H9548">
        <v>2023</v>
      </c>
      <c r="I9548" t="s">
        <v>9663</v>
      </c>
    </row>
    <row r="9549" spans="1:9" x14ac:dyDescent="0.3">
      <c r="A9549" t="s">
        <v>10136</v>
      </c>
      <c r="B9549" t="s">
        <v>113</v>
      </c>
      <c r="C9549">
        <v>9406980470</v>
      </c>
      <c r="D9549" s="2">
        <v>1</v>
      </c>
      <c r="E9549" t="str">
        <f>"4574674200976983"</f>
        <v>4574674200976983</v>
      </c>
      <c r="F9549" t="str">
        <f>"989"</f>
        <v>989</v>
      </c>
      <c r="G9549">
        <v>1</v>
      </c>
      <c r="H9549">
        <v>2023</v>
      </c>
      <c r="I9549" t="s">
        <v>9664</v>
      </c>
    </row>
    <row r="9550" spans="1:9" x14ac:dyDescent="0.3">
      <c r="A9550" t="s">
        <v>10136</v>
      </c>
      <c r="B9550" t="s">
        <v>113</v>
      </c>
      <c r="C9550">
        <v>9406980470</v>
      </c>
      <c r="D9550" s="2">
        <v>1</v>
      </c>
      <c r="E9550" t="str">
        <f>"4574674200977007"</f>
        <v>4574674200977007</v>
      </c>
      <c r="F9550" t="str">
        <f>"980"</f>
        <v>980</v>
      </c>
      <c r="G9550">
        <v>1</v>
      </c>
      <c r="H9550">
        <v>2023</v>
      </c>
      <c r="I9550" t="s">
        <v>9665</v>
      </c>
    </row>
    <row r="9551" spans="1:9" x14ac:dyDescent="0.3">
      <c r="A9551" t="s">
        <v>10136</v>
      </c>
      <c r="B9551" t="s">
        <v>113</v>
      </c>
      <c r="C9551">
        <v>9406980470</v>
      </c>
      <c r="D9551" s="2">
        <v>1</v>
      </c>
      <c r="E9551" t="str">
        <f>"4574674200977015"</f>
        <v>4574674200977015</v>
      </c>
      <c r="F9551" t="str">
        <f>"926"</f>
        <v>926</v>
      </c>
      <c r="G9551">
        <v>1</v>
      </c>
      <c r="H9551">
        <v>2023</v>
      </c>
      <c r="I9551" t="s">
        <v>9666</v>
      </c>
    </row>
    <row r="9552" spans="1:9" x14ac:dyDescent="0.3">
      <c r="A9552" t="s">
        <v>10136</v>
      </c>
      <c r="B9552" t="s">
        <v>113</v>
      </c>
      <c r="C9552">
        <v>9406980470</v>
      </c>
      <c r="D9552" s="2">
        <v>1</v>
      </c>
      <c r="E9552" t="str">
        <f>"4574674200976397"</f>
        <v>4574674200976397</v>
      </c>
      <c r="F9552" t="str">
        <f>"062"</f>
        <v>062</v>
      </c>
      <c r="G9552">
        <v>1</v>
      </c>
      <c r="H9552">
        <v>2023</v>
      </c>
      <c r="I9552" t="s">
        <v>9667</v>
      </c>
    </row>
    <row r="9553" spans="1:9" x14ac:dyDescent="0.3">
      <c r="A9553" t="s">
        <v>10136</v>
      </c>
      <c r="B9553" t="s">
        <v>113</v>
      </c>
      <c r="C9553">
        <v>9406980470</v>
      </c>
      <c r="D9553" s="2">
        <v>1</v>
      </c>
      <c r="E9553" t="str">
        <f>"4574674200977213"</f>
        <v>4574674200977213</v>
      </c>
      <c r="F9553" t="str">
        <f>"000"</f>
        <v>000</v>
      </c>
      <c r="G9553">
        <v>1</v>
      </c>
      <c r="H9553">
        <v>2023</v>
      </c>
      <c r="I9553" t="s">
        <v>9668</v>
      </c>
    </row>
    <row r="9554" spans="1:9" x14ac:dyDescent="0.3">
      <c r="A9554" t="s">
        <v>10136</v>
      </c>
      <c r="B9554" t="s">
        <v>113</v>
      </c>
      <c r="C9554">
        <v>9406980470</v>
      </c>
      <c r="D9554" s="2">
        <v>1</v>
      </c>
      <c r="E9554" t="str">
        <f>"4574674200977072"</f>
        <v>4574674200977072</v>
      </c>
      <c r="F9554" t="str">
        <f>"426"</f>
        <v>426</v>
      </c>
      <c r="G9554">
        <v>1</v>
      </c>
      <c r="H9554">
        <v>2023</v>
      </c>
      <c r="I9554" t="s">
        <v>9669</v>
      </c>
    </row>
    <row r="9555" spans="1:9" x14ac:dyDescent="0.3">
      <c r="A9555" t="s">
        <v>10136</v>
      </c>
      <c r="B9555" t="s">
        <v>113</v>
      </c>
      <c r="C9555">
        <v>9406980470</v>
      </c>
      <c r="D9555" s="2">
        <v>1</v>
      </c>
      <c r="E9555" t="str">
        <f>"4574674200977114"</f>
        <v>4574674200977114</v>
      </c>
      <c r="F9555" t="str">
        <f>"072"</f>
        <v>072</v>
      </c>
      <c r="G9555">
        <v>1</v>
      </c>
      <c r="H9555">
        <v>2023</v>
      </c>
      <c r="I9555" t="s">
        <v>9670</v>
      </c>
    </row>
    <row r="9556" spans="1:9" x14ac:dyDescent="0.3">
      <c r="A9556" t="s">
        <v>10137</v>
      </c>
      <c r="B9556" t="s">
        <v>114</v>
      </c>
      <c r="C9556">
        <v>9406980470</v>
      </c>
      <c r="D9556" s="2">
        <v>1</v>
      </c>
      <c r="E9556" t="str">
        <f>"4574674200977122"</f>
        <v>4574674200977122</v>
      </c>
      <c r="F9556" t="str">
        <f>"468"</f>
        <v>468</v>
      </c>
      <c r="G9556">
        <v>1</v>
      </c>
      <c r="H9556">
        <v>2023</v>
      </c>
      <c r="I9556" t="s">
        <v>9671</v>
      </c>
    </row>
    <row r="9557" spans="1:9" x14ac:dyDescent="0.3">
      <c r="A9557" t="s">
        <v>10137</v>
      </c>
      <c r="B9557" t="s">
        <v>114</v>
      </c>
      <c r="C9557">
        <v>9406980470</v>
      </c>
      <c r="D9557" s="2">
        <v>1</v>
      </c>
      <c r="E9557" t="str">
        <f>"4574674200977130"</f>
        <v>4574674200977130</v>
      </c>
      <c r="F9557" t="str">
        <f>"179"</f>
        <v>179</v>
      </c>
      <c r="G9557">
        <v>1</v>
      </c>
      <c r="H9557">
        <v>2023</v>
      </c>
      <c r="I9557" t="s">
        <v>9672</v>
      </c>
    </row>
    <row r="9558" spans="1:9" x14ac:dyDescent="0.3">
      <c r="A9558" t="s">
        <v>10137</v>
      </c>
      <c r="B9558" t="s">
        <v>114</v>
      </c>
      <c r="C9558">
        <v>9406980470</v>
      </c>
      <c r="D9558" s="2">
        <v>1</v>
      </c>
      <c r="E9558" t="str">
        <f>"4574674200977247"</f>
        <v>4574674200977247</v>
      </c>
      <c r="F9558" t="str">
        <f>"623"</f>
        <v>623</v>
      </c>
      <c r="G9558">
        <v>1</v>
      </c>
      <c r="H9558">
        <v>2023</v>
      </c>
      <c r="I9558" t="s">
        <v>9673</v>
      </c>
    </row>
    <row r="9559" spans="1:9" x14ac:dyDescent="0.3">
      <c r="A9559" t="s">
        <v>10137</v>
      </c>
      <c r="B9559" t="s">
        <v>114</v>
      </c>
      <c r="C9559">
        <v>9406980470</v>
      </c>
      <c r="D9559" s="2">
        <v>1</v>
      </c>
      <c r="E9559" t="str">
        <f>"4574674200977239"</f>
        <v>4574674200977239</v>
      </c>
      <c r="F9559" t="str">
        <f>"816"</f>
        <v>816</v>
      </c>
      <c r="G9559">
        <v>1</v>
      </c>
      <c r="H9559">
        <v>2023</v>
      </c>
      <c r="I9559" t="s">
        <v>9674</v>
      </c>
    </row>
    <row r="9560" spans="1:9" x14ac:dyDescent="0.3">
      <c r="A9560" t="s">
        <v>10137</v>
      </c>
      <c r="B9560" t="s">
        <v>114</v>
      </c>
      <c r="C9560">
        <v>9406980470</v>
      </c>
      <c r="D9560" s="2">
        <v>1</v>
      </c>
      <c r="E9560" t="str">
        <f>"4574674200977189"</f>
        <v>4574674200977189</v>
      </c>
      <c r="F9560" t="str">
        <f>"499"</f>
        <v>499</v>
      </c>
      <c r="G9560">
        <v>1</v>
      </c>
      <c r="H9560">
        <v>2023</v>
      </c>
      <c r="I9560" t="s">
        <v>9675</v>
      </c>
    </row>
    <row r="9561" spans="1:9" x14ac:dyDescent="0.3">
      <c r="A9561" t="s">
        <v>10137</v>
      </c>
      <c r="B9561" t="s">
        <v>114</v>
      </c>
      <c r="C9561">
        <v>9406980470</v>
      </c>
      <c r="D9561" s="2">
        <v>1</v>
      </c>
      <c r="E9561" t="str">
        <f>"4574674200977445"</f>
        <v>4574674200977445</v>
      </c>
      <c r="F9561" t="str">
        <f>"368"</f>
        <v>368</v>
      </c>
      <c r="G9561">
        <v>1</v>
      </c>
      <c r="H9561">
        <v>2023</v>
      </c>
      <c r="I9561" t="s">
        <v>9676</v>
      </c>
    </row>
    <row r="9562" spans="1:9" x14ac:dyDescent="0.3">
      <c r="A9562" t="s">
        <v>10137</v>
      </c>
      <c r="B9562" t="s">
        <v>114</v>
      </c>
      <c r="C9562">
        <v>9406980470</v>
      </c>
      <c r="D9562" s="2">
        <v>1</v>
      </c>
      <c r="E9562" t="str">
        <f>"4574674200977403"</f>
        <v>4574674200977403</v>
      </c>
      <c r="F9562" t="str">
        <f>"368"</f>
        <v>368</v>
      </c>
      <c r="G9562">
        <v>1</v>
      </c>
      <c r="H9562">
        <v>2023</v>
      </c>
      <c r="I9562" t="s">
        <v>9677</v>
      </c>
    </row>
    <row r="9563" spans="1:9" x14ac:dyDescent="0.3">
      <c r="A9563" t="s">
        <v>10137</v>
      </c>
      <c r="B9563" t="s">
        <v>114</v>
      </c>
      <c r="C9563">
        <v>9406980470</v>
      </c>
      <c r="D9563" s="2">
        <v>1</v>
      </c>
      <c r="E9563" t="str">
        <f>"4574674200977437"</f>
        <v>4574674200977437</v>
      </c>
      <c r="F9563" t="str">
        <f>"211"</f>
        <v>211</v>
      </c>
      <c r="G9563">
        <v>1</v>
      </c>
      <c r="H9563">
        <v>2023</v>
      </c>
      <c r="I9563" t="s">
        <v>9678</v>
      </c>
    </row>
    <row r="9564" spans="1:9" x14ac:dyDescent="0.3">
      <c r="A9564" t="s">
        <v>10137</v>
      </c>
      <c r="B9564" t="s">
        <v>114</v>
      </c>
      <c r="C9564">
        <v>9406980470</v>
      </c>
      <c r="D9564" s="2">
        <v>1</v>
      </c>
      <c r="E9564" t="str">
        <f>"4574674200977452"</f>
        <v>4574674200977452</v>
      </c>
      <c r="F9564" t="str">
        <f>"275"</f>
        <v>275</v>
      </c>
      <c r="G9564">
        <v>1</v>
      </c>
      <c r="H9564">
        <v>2023</v>
      </c>
      <c r="I9564" t="s">
        <v>9679</v>
      </c>
    </row>
    <row r="9565" spans="1:9" x14ac:dyDescent="0.3">
      <c r="A9565" t="s">
        <v>10137</v>
      </c>
      <c r="B9565" t="s">
        <v>114</v>
      </c>
      <c r="C9565">
        <v>9406980470</v>
      </c>
      <c r="D9565" s="2">
        <v>1</v>
      </c>
      <c r="E9565" t="str">
        <f>"4574674200977262"</f>
        <v>4574674200977262</v>
      </c>
      <c r="F9565" t="str">
        <f>"141"</f>
        <v>141</v>
      </c>
      <c r="G9565">
        <v>1</v>
      </c>
      <c r="H9565">
        <v>2023</v>
      </c>
      <c r="I9565" t="s">
        <v>9680</v>
      </c>
    </row>
    <row r="9566" spans="1:9" x14ac:dyDescent="0.3">
      <c r="A9566" t="s">
        <v>10138</v>
      </c>
      <c r="B9566" t="s">
        <v>115</v>
      </c>
      <c r="C9566">
        <v>9406980470</v>
      </c>
      <c r="D9566" s="2">
        <v>1</v>
      </c>
      <c r="E9566" t="str">
        <f>"4574674200977288"</f>
        <v>4574674200977288</v>
      </c>
      <c r="F9566" t="str">
        <f>"690"</f>
        <v>690</v>
      </c>
      <c r="G9566">
        <v>1</v>
      </c>
      <c r="H9566">
        <v>2023</v>
      </c>
      <c r="I9566" t="s">
        <v>9681</v>
      </c>
    </row>
    <row r="9567" spans="1:9" x14ac:dyDescent="0.3">
      <c r="A9567" t="s">
        <v>10138</v>
      </c>
      <c r="B9567" t="s">
        <v>115</v>
      </c>
      <c r="C9567">
        <v>9406980470</v>
      </c>
      <c r="D9567" s="2">
        <v>1</v>
      </c>
      <c r="E9567" t="str">
        <f>"4574674200977528"</f>
        <v>4574674200977528</v>
      </c>
      <c r="F9567" t="str">
        <f>"608"</f>
        <v>608</v>
      </c>
      <c r="G9567">
        <v>1</v>
      </c>
      <c r="H9567">
        <v>2023</v>
      </c>
      <c r="I9567" t="s">
        <v>9682</v>
      </c>
    </row>
    <row r="9568" spans="1:9" x14ac:dyDescent="0.3">
      <c r="A9568" t="s">
        <v>10138</v>
      </c>
      <c r="B9568" t="s">
        <v>115</v>
      </c>
      <c r="C9568">
        <v>9406980470</v>
      </c>
      <c r="D9568" s="2">
        <v>1</v>
      </c>
      <c r="E9568" t="str">
        <f>"4574674200977502"</f>
        <v>4574674200977502</v>
      </c>
      <c r="F9568" t="str">
        <f>"368"</f>
        <v>368</v>
      </c>
      <c r="G9568">
        <v>1</v>
      </c>
      <c r="H9568">
        <v>2023</v>
      </c>
      <c r="I9568" t="s">
        <v>9683</v>
      </c>
    </row>
    <row r="9569" spans="1:9" x14ac:dyDescent="0.3">
      <c r="A9569" t="s">
        <v>10138</v>
      </c>
      <c r="B9569" t="s">
        <v>115</v>
      </c>
      <c r="C9569">
        <v>9406980470</v>
      </c>
      <c r="D9569" s="2">
        <v>1</v>
      </c>
      <c r="E9569" t="str">
        <f>"4574674200977544"</f>
        <v>4574674200977544</v>
      </c>
      <c r="F9569" t="str">
        <f>"256"</f>
        <v>256</v>
      </c>
      <c r="G9569">
        <v>1</v>
      </c>
      <c r="H9569">
        <v>2023</v>
      </c>
      <c r="I9569" t="s">
        <v>9684</v>
      </c>
    </row>
    <row r="9570" spans="1:9" x14ac:dyDescent="0.3">
      <c r="A9570" t="s">
        <v>10138</v>
      </c>
      <c r="B9570" t="s">
        <v>115</v>
      </c>
      <c r="C9570">
        <v>9406980470</v>
      </c>
      <c r="D9570" s="2">
        <v>1</v>
      </c>
      <c r="E9570" t="str">
        <f>"4574674200977494"</f>
        <v>4574674200977494</v>
      </c>
      <c r="F9570" t="str">
        <f>"856"</f>
        <v>856</v>
      </c>
      <c r="G9570">
        <v>1</v>
      </c>
      <c r="H9570">
        <v>2023</v>
      </c>
      <c r="I9570" t="s">
        <v>9685</v>
      </c>
    </row>
    <row r="9571" spans="1:9" x14ac:dyDescent="0.3">
      <c r="A9571" t="s">
        <v>10138</v>
      </c>
      <c r="B9571" t="s">
        <v>115</v>
      </c>
      <c r="C9571">
        <v>9406980470</v>
      </c>
      <c r="D9571" s="2">
        <v>1</v>
      </c>
      <c r="E9571" t="str">
        <f>"4574674200977551"</f>
        <v>4574674200977551</v>
      </c>
      <c r="F9571" t="str">
        <f>"450"</f>
        <v>450</v>
      </c>
      <c r="G9571">
        <v>1</v>
      </c>
      <c r="H9571">
        <v>2023</v>
      </c>
      <c r="I9571" t="s">
        <v>9686</v>
      </c>
    </row>
    <row r="9572" spans="1:9" x14ac:dyDescent="0.3">
      <c r="A9572" t="s">
        <v>10138</v>
      </c>
      <c r="B9572" t="s">
        <v>115</v>
      </c>
      <c r="C9572">
        <v>9406980470</v>
      </c>
      <c r="D9572" s="2">
        <v>1</v>
      </c>
      <c r="E9572" t="str">
        <f>"4574674200977304"</f>
        <v>4574674200977304</v>
      </c>
      <c r="F9572" t="str">
        <f>"162"</f>
        <v>162</v>
      </c>
      <c r="G9572">
        <v>1</v>
      </c>
      <c r="H9572">
        <v>2023</v>
      </c>
      <c r="I9572" t="s">
        <v>9687</v>
      </c>
    </row>
    <row r="9573" spans="1:9" x14ac:dyDescent="0.3">
      <c r="A9573" t="s">
        <v>10138</v>
      </c>
      <c r="B9573" t="s">
        <v>115</v>
      </c>
      <c r="C9573">
        <v>9406980470</v>
      </c>
      <c r="D9573" s="2">
        <v>1</v>
      </c>
      <c r="E9573" t="str">
        <f>"4574674200977320"</f>
        <v>4574674200977320</v>
      </c>
      <c r="F9573" t="str">
        <f>"098"</f>
        <v>098</v>
      </c>
      <c r="G9573">
        <v>1</v>
      </c>
      <c r="H9573">
        <v>2023</v>
      </c>
      <c r="I9573" t="s">
        <v>9688</v>
      </c>
    </row>
    <row r="9574" spans="1:9" x14ac:dyDescent="0.3">
      <c r="A9574" t="s">
        <v>10138</v>
      </c>
      <c r="B9574" t="s">
        <v>115</v>
      </c>
      <c r="C9574">
        <v>9406980470</v>
      </c>
      <c r="D9574" s="2">
        <v>1</v>
      </c>
      <c r="E9574" t="str">
        <f>"4574674200977577"</f>
        <v>4574674200977577</v>
      </c>
      <c r="F9574" t="str">
        <f>"609"</f>
        <v>609</v>
      </c>
      <c r="G9574">
        <v>1</v>
      </c>
      <c r="H9574">
        <v>2023</v>
      </c>
      <c r="I9574" t="s">
        <v>9689</v>
      </c>
    </row>
    <row r="9575" spans="1:9" x14ac:dyDescent="0.3">
      <c r="A9575" t="s">
        <v>10138</v>
      </c>
      <c r="B9575" t="s">
        <v>115</v>
      </c>
      <c r="C9575">
        <v>9406980470</v>
      </c>
      <c r="D9575" s="2">
        <v>1</v>
      </c>
      <c r="E9575" t="str">
        <f>"4574674200977601"</f>
        <v>4574674200977601</v>
      </c>
      <c r="F9575" t="str">
        <f>"235"</f>
        <v>235</v>
      </c>
      <c r="G9575">
        <v>1</v>
      </c>
      <c r="H9575">
        <v>2023</v>
      </c>
      <c r="I9575" t="s">
        <v>9690</v>
      </c>
    </row>
    <row r="9576" spans="1:9" x14ac:dyDescent="0.3">
      <c r="A9576" t="s">
        <v>10139</v>
      </c>
      <c r="B9576" t="s">
        <v>116</v>
      </c>
      <c r="C9576">
        <v>9406980470</v>
      </c>
      <c r="D9576" s="2">
        <v>1</v>
      </c>
      <c r="E9576" t="str">
        <f>"4574674200977619"</f>
        <v>4574674200977619</v>
      </c>
      <c r="F9576" t="str">
        <f>"318"</f>
        <v>318</v>
      </c>
      <c r="G9576">
        <v>1</v>
      </c>
      <c r="H9576">
        <v>2023</v>
      </c>
      <c r="I9576" t="s">
        <v>9691</v>
      </c>
    </row>
    <row r="9577" spans="1:9" x14ac:dyDescent="0.3">
      <c r="A9577" t="s">
        <v>10139</v>
      </c>
      <c r="B9577" t="s">
        <v>116</v>
      </c>
      <c r="C9577">
        <v>9406980470</v>
      </c>
      <c r="D9577" s="2">
        <v>1</v>
      </c>
      <c r="E9577" t="str">
        <f>"4574674200977635"</f>
        <v>4574674200977635</v>
      </c>
      <c r="F9577" t="str">
        <f>"903"</f>
        <v>903</v>
      </c>
      <c r="G9577">
        <v>1</v>
      </c>
      <c r="H9577">
        <v>2023</v>
      </c>
      <c r="I9577" t="s">
        <v>9692</v>
      </c>
    </row>
    <row r="9578" spans="1:9" x14ac:dyDescent="0.3">
      <c r="A9578" t="s">
        <v>10139</v>
      </c>
      <c r="B9578" t="s">
        <v>116</v>
      </c>
      <c r="C9578">
        <v>9406980470</v>
      </c>
      <c r="D9578" s="2">
        <v>1</v>
      </c>
      <c r="E9578" t="str">
        <f>"4574674200977668"</f>
        <v>4574674200977668</v>
      </c>
      <c r="F9578" t="str">
        <f>"816"</f>
        <v>816</v>
      </c>
      <c r="G9578">
        <v>1</v>
      </c>
      <c r="H9578">
        <v>2023</v>
      </c>
      <c r="I9578" t="s">
        <v>9693</v>
      </c>
    </row>
    <row r="9579" spans="1:9" x14ac:dyDescent="0.3">
      <c r="A9579" t="s">
        <v>10139</v>
      </c>
      <c r="B9579" t="s">
        <v>116</v>
      </c>
      <c r="C9579">
        <v>9406980470</v>
      </c>
      <c r="D9579" s="2">
        <v>1</v>
      </c>
      <c r="E9579" t="str">
        <f>"4574674200977353"</f>
        <v>4574674200977353</v>
      </c>
      <c r="F9579" t="str">
        <f>"034"</f>
        <v>034</v>
      </c>
      <c r="G9579">
        <v>1</v>
      </c>
      <c r="H9579">
        <v>2023</v>
      </c>
      <c r="I9579" t="s">
        <v>9694</v>
      </c>
    </row>
    <row r="9580" spans="1:9" x14ac:dyDescent="0.3">
      <c r="A9580" t="s">
        <v>10139</v>
      </c>
      <c r="B9580" t="s">
        <v>116</v>
      </c>
      <c r="C9580">
        <v>9406980470</v>
      </c>
      <c r="D9580" s="2">
        <v>1</v>
      </c>
      <c r="E9580" t="str">
        <f>"4574674200977379"</f>
        <v>4574674200977379</v>
      </c>
      <c r="F9580" t="str">
        <f>"438"</f>
        <v>438</v>
      </c>
      <c r="G9580">
        <v>1</v>
      </c>
      <c r="H9580">
        <v>2023</v>
      </c>
      <c r="I9580" t="s">
        <v>9695</v>
      </c>
    </row>
    <row r="9581" spans="1:9" x14ac:dyDescent="0.3">
      <c r="A9581" t="s">
        <v>10139</v>
      </c>
      <c r="B9581" t="s">
        <v>116</v>
      </c>
      <c r="C9581">
        <v>9406980470</v>
      </c>
      <c r="D9581" s="2">
        <v>1</v>
      </c>
      <c r="E9581" t="str">
        <f>"4574674200977692"</f>
        <v>4574674200977692</v>
      </c>
      <c r="F9581" t="str">
        <f>"891"</f>
        <v>891</v>
      </c>
      <c r="G9581">
        <v>1</v>
      </c>
      <c r="H9581">
        <v>2023</v>
      </c>
      <c r="I9581" t="s">
        <v>9696</v>
      </c>
    </row>
    <row r="9582" spans="1:9" x14ac:dyDescent="0.3">
      <c r="A9582" t="s">
        <v>10139</v>
      </c>
      <c r="B9582" t="s">
        <v>116</v>
      </c>
      <c r="C9582">
        <v>9406980470</v>
      </c>
      <c r="D9582" s="2">
        <v>1</v>
      </c>
      <c r="E9582" t="str">
        <f>"4574674200977676"</f>
        <v>4574674200977676</v>
      </c>
      <c r="F9582" t="str">
        <f>"801"</f>
        <v>801</v>
      </c>
      <c r="G9582">
        <v>1</v>
      </c>
      <c r="H9582">
        <v>2023</v>
      </c>
      <c r="I9582" t="s">
        <v>9697</v>
      </c>
    </row>
    <row r="9583" spans="1:9" x14ac:dyDescent="0.3">
      <c r="A9583" t="s">
        <v>10139</v>
      </c>
      <c r="B9583" t="s">
        <v>116</v>
      </c>
      <c r="C9583">
        <v>9406980470</v>
      </c>
      <c r="D9583" s="2">
        <v>1</v>
      </c>
      <c r="E9583" t="str">
        <f>"4574674200977718"</f>
        <v>4574674200977718</v>
      </c>
      <c r="F9583" t="str">
        <f>"091"</f>
        <v>091</v>
      </c>
      <c r="G9583">
        <v>1</v>
      </c>
      <c r="H9583">
        <v>2023</v>
      </c>
      <c r="I9583" t="s">
        <v>9698</v>
      </c>
    </row>
    <row r="9584" spans="1:9" x14ac:dyDescent="0.3">
      <c r="A9584" t="s">
        <v>10139</v>
      </c>
      <c r="B9584" t="s">
        <v>116</v>
      </c>
      <c r="C9584">
        <v>9406980470</v>
      </c>
      <c r="D9584" s="2">
        <v>1</v>
      </c>
      <c r="E9584" t="str">
        <f>"4574674200977734"</f>
        <v>4574674200977734</v>
      </c>
      <c r="F9584" t="str">
        <f>"381"</f>
        <v>381</v>
      </c>
      <c r="G9584">
        <v>1</v>
      </c>
      <c r="H9584">
        <v>2023</v>
      </c>
      <c r="I9584" t="s">
        <v>9699</v>
      </c>
    </row>
    <row r="9585" spans="1:9" x14ac:dyDescent="0.3">
      <c r="A9585" t="s">
        <v>10117</v>
      </c>
      <c r="B9585" t="s">
        <v>9</v>
      </c>
      <c r="C9585">
        <v>7648876604</v>
      </c>
      <c r="D9585" s="2">
        <v>1</v>
      </c>
      <c r="E9585" t="str">
        <f>"4574674200977767"</f>
        <v>4574674200977767</v>
      </c>
      <c r="F9585" t="str">
        <f>"924"</f>
        <v>924</v>
      </c>
      <c r="G9585">
        <v>1</v>
      </c>
      <c r="H9585">
        <v>2023</v>
      </c>
      <c r="I9585" t="s">
        <v>9700</v>
      </c>
    </row>
    <row r="9586" spans="1:9" x14ac:dyDescent="0.3">
      <c r="A9586" t="s">
        <v>10117</v>
      </c>
      <c r="B9586" t="s">
        <v>9</v>
      </c>
      <c r="C9586">
        <v>7648876604</v>
      </c>
      <c r="D9586" s="2">
        <v>1</v>
      </c>
      <c r="E9586" t="str">
        <f>"4574674200977833"</f>
        <v>4574674200977833</v>
      </c>
      <c r="F9586" t="str">
        <f>"245"</f>
        <v>245</v>
      </c>
      <c r="G9586">
        <v>1</v>
      </c>
      <c r="H9586">
        <v>2023</v>
      </c>
      <c r="I9586" t="s">
        <v>9701</v>
      </c>
    </row>
    <row r="9587" spans="1:9" x14ac:dyDescent="0.3">
      <c r="A9587" t="s">
        <v>10117</v>
      </c>
      <c r="B9587" t="s">
        <v>9</v>
      </c>
      <c r="C9587">
        <v>7648876604</v>
      </c>
      <c r="D9587" s="2">
        <v>1</v>
      </c>
      <c r="E9587" t="str">
        <f>"4574674200977783"</f>
        <v>4574674200977783</v>
      </c>
      <c r="F9587" t="str">
        <f>"413"</f>
        <v>413</v>
      </c>
      <c r="G9587">
        <v>1</v>
      </c>
      <c r="H9587">
        <v>2023</v>
      </c>
      <c r="I9587" t="s">
        <v>9702</v>
      </c>
    </row>
    <row r="9588" spans="1:9" x14ac:dyDescent="0.3">
      <c r="A9588" t="s">
        <v>10117</v>
      </c>
      <c r="B9588" t="s">
        <v>9</v>
      </c>
      <c r="C9588">
        <v>7648876604</v>
      </c>
      <c r="D9588" s="2">
        <v>1</v>
      </c>
      <c r="E9588" t="str">
        <f>"4574674200977858"</f>
        <v>4574674200977858</v>
      </c>
      <c r="F9588" t="str">
        <f>"164"</f>
        <v>164</v>
      </c>
      <c r="G9588">
        <v>1</v>
      </c>
      <c r="H9588">
        <v>2023</v>
      </c>
      <c r="I9588" t="s">
        <v>9703</v>
      </c>
    </row>
    <row r="9589" spans="1:9" x14ac:dyDescent="0.3">
      <c r="A9589" t="s">
        <v>10117</v>
      </c>
      <c r="B9589" t="s">
        <v>9</v>
      </c>
      <c r="C9589">
        <v>7648876604</v>
      </c>
      <c r="D9589" s="2">
        <v>1</v>
      </c>
      <c r="E9589" t="str">
        <f>"4574674200977841"</f>
        <v>4574674200977841</v>
      </c>
      <c r="F9589" t="str">
        <f>"306"</f>
        <v>306</v>
      </c>
      <c r="G9589">
        <v>1</v>
      </c>
      <c r="H9589">
        <v>2023</v>
      </c>
      <c r="I9589" t="s">
        <v>9704</v>
      </c>
    </row>
    <row r="9590" spans="1:9" x14ac:dyDescent="0.3">
      <c r="A9590" t="s">
        <v>10117</v>
      </c>
      <c r="B9590" t="s">
        <v>9</v>
      </c>
      <c r="C9590">
        <v>7648876604</v>
      </c>
      <c r="D9590" s="2">
        <v>1</v>
      </c>
      <c r="E9590" t="str">
        <f>"4574674200977395"</f>
        <v>4574674200977395</v>
      </c>
      <c r="F9590" t="str">
        <f>"011"</f>
        <v>011</v>
      </c>
      <c r="G9590">
        <v>1</v>
      </c>
      <c r="H9590">
        <v>2023</v>
      </c>
      <c r="I9590" t="s">
        <v>9705</v>
      </c>
    </row>
    <row r="9591" spans="1:9" x14ac:dyDescent="0.3">
      <c r="A9591" t="s">
        <v>10117</v>
      </c>
      <c r="B9591" t="s">
        <v>9</v>
      </c>
      <c r="C9591">
        <v>7648876604</v>
      </c>
      <c r="D9591" s="2">
        <v>1</v>
      </c>
      <c r="E9591" t="str">
        <f>"4574674200978005"</f>
        <v>4574674200978005</v>
      </c>
      <c r="F9591" t="str">
        <f>"273"</f>
        <v>273</v>
      </c>
      <c r="G9591">
        <v>1</v>
      </c>
      <c r="H9591">
        <v>2023</v>
      </c>
      <c r="I9591" t="s">
        <v>9706</v>
      </c>
    </row>
    <row r="9592" spans="1:9" x14ac:dyDescent="0.3">
      <c r="A9592" t="s">
        <v>10117</v>
      </c>
      <c r="B9592" t="s">
        <v>9</v>
      </c>
      <c r="C9592">
        <v>7648876604</v>
      </c>
      <c r="D9592" s="2">
        <v>1</v>
      </c>
      <c r="E9592" t="str">
        <f>"4574674200977866"</f>
        <v>4574674200977866</v>
      </c>
      <c r="F9592" t="str">
        <f>"488"</f>
        <v>488</v>
      </c>
      <c r="G9592">
        <v>1</v>
      </c>
      <c r="H9592">
        <v>2023</v>
      </c>
      <c r="I9592" t="s">
        <v>9707</v>
      </c>
    </row>
    <row r="9593" spans="1:9" x14ac:dyDescent="0.3">
      <c r="A9593" t="s">
        <v>10117</v>
      </c>
      <c r="B9593" t="s">
        <v>9</v>
      </c>
      <c r="C9593">
        <v>7648876604</v>
      </c>
      <c r="D9593" s="2">
        <v>1</v>
      </c>
      <c r="E9593" t="str">
        <f>"4574674200977882"</f>
        <v>4574674200977882</v>
      </c>
      <c r="F9593" t="str">
        <f>"490"</f>
        <v>490</v>
      </c>
      <c r="G9593">
        <v>1</v>
      </c>
      <c r="H9593">
        <v>2023</v>
      </c>
      <c r="I9593" t="s">
        <v>9708</v>
      </c>
    </row>
    <row r="9594" spans="1:9" x14ac:dyDescent="0.3">
      <c r="A9594" t="s">
        <v>10117</v>
      </c>
      <c r="B9594" t="s">
        <v>9</v>
      </c>
      <c r="C9594">
        <v>7648876604</v>
      </c>
      <c r="D9594" s="2">
        <v>1</v>
      </c>
      <c r="E9594" t="str">
        <f>"4574674200977908"</f>
        <v>4574674200977908</v>
      </c>
      <c r="F9594" t="str">
        <f>"376"</f>
        <v>376</v>
      </c>
      <c r="G9594">
        <v>1</v>
      </c>
      <c r="H9594">
        <v>2023</v>
      </c>
      <c r="I9594" t="s">
        <v>9709</v>
      </c>
    </row>
    <row r="9595" spans="1:9" x14ac:dyDescent="0.3">
      <c r="A9595" t="s">
        <v>10118</v>
      </c>
      <c r="B9595" t="s">
        <v>10</v>
      </c>
      <c r="C9595">
        <v>7648876604</v>
      </c>
      <c r="D9595" s="2">
        <v>1</v>
      </c>
      <c r="E9595" t="str">
        <f>"4574674200977916"</f>
        <v>4574674200977916</v>
      </c>
      <c r="F9595" t="str">
        <f>"667"</f>
        <v>667</v>
      </c>
      <c r="G9595">
        <v>1</v>
      </c>
      <c r="H9595">
        <v>2023</v>
      </c>
      <c r="I9595" t="s">
        <v>9710</v>
      </c>
    </row>
    <row r="9596" spans="1:9" x14ac:dyDescent="0.3">
      <c r="A9596" t="s">
        <v>10118</v>
      </c>
      <c r="B9596" t="s">
        <v>10</v>
      </c>
      <c r="C9596">
        <v>7648876604</v>
      </c>
      <c r="D9596" s="2">
        <v>1</v>
      </c>
      <c r="E9596" t="str">
        <f>"4574674200977940"</f>
        <v>4574674200977940</v>
      </c>
      <c r="F9596" t="str">
        <f>"917"</f>
        <v>917</v>
      </c>
      <c r="G9596">
        <v>1</v>
      </c>
      <c r="H9596">
        <v>2023</v>
      </c>
      <c r="I9596" t="s">
        <v>9711</v>
      </c>
    </row>
    <row r="9597" spans="1:9" x14ac:dyDescent="0.3">
      <c r="A9597" t="s">
        <v>10118</v>
      </c>
      <c r="B9597" t="s">
        <v>10</v>
      </c>
      <c r="C9597">
        <v>7648876604</v>
      </c>
      <c r="D9597" s="2">
        <v>1</v>
      </c>
      <c r="E9597" t="str">
        <f>"4574674200977965"</f>
        <v>4574674200977965</v>
      </c>
      <c r="F9597" t="str">
        <f>"614"</f>
        <v>614</v>
      </c>
      <c r="G9597">
        <v>1</v>
      </c>
      <c r="H9597">
        <v>2023</v>
      </c>
      <c r="I9597" t="s">
        <v>9712</v>
      </c>
    </row>
    <row r="9598" spans="1:9" x14ac:dyDescent="0.3">
      <c r="A9598" t="s">
        <v>10118</v>
      </c>
      <c r="B9598" t="s">
        <v>10</v>
      </c>
      <c r="C9598">
        <v>7648876604</v>
      </c>
      <c r="D9598" s="2">
        <v>1</v>
      </c>
      <c r="E9598" t="str">
        <f>"4574674200977973"</f>
        <v>4574674200977973</v>
      </c>
      <c r="F9598" t="str">
        <f>"271"</f>
        <v>271</v>
      </c>
      <c r="G9598">
        <v>1</v>
      </c>
      <c r="H9598">
        <v>2023</v>
      </c>
      <c r="I9598" t="s">
        <v>9713</v>
      </c>
    </row>
    <row r="9599" spans="1:9" x14ac:dyDescent="0.3">
      <c r="A9599" t="s">
        <v>10118</v>
      </c>
      <c r="B9599" t="s">
        <v>10</v>
      </c>
      <c r="C9599">
        <v>7648876604</v>
      </c>
      <c r="D9599" s="2">
        <v>1</v>
      </c>
      <c r="E9599" t="str">
        <f>"4574674200978211"</f>
        <v>4574674200978211</v>
      </c>
      <c r="F9599" t="str">
        <f>"887"</f>
        <v>887</v>
      </c>
      <c r="G9599">
        <v>1</v>
      </c>
      <c r="H9599">
        <v>2023</v>
      </c>
      <c r="I9599" t="s">
        <v>9714</v>
      </c>
    </row>
    <row r="9600" spans="1:9" x14ac:dyDescent="0.3">
      <c r="A9600" t="s">
        <v>10118</v>
      </c>
      <c r="B9600" t="s">
        <v>10</v>
      </c>
      <c r="C9600">
        <v>7648876604</v>
      </c>
      <c r="D9600" s="2">
        <v>1</v>
      </c>
      <c r="E9600" t="str">
        <f>"4574674200978245"</f>
        <v>4574674200978245</v>
      </c>
      <c r="F9600" t="str">
        <f>"439"</f>
        <v>439</v>
      </c>
      <c r="G9600">
        <v>1</v>
      </c>
      <c r="H9600">
        <v>2023</v>
      </c>
      <c r="I9600" t="s">
        <v>9715</v>
      </c>
    </row>
    <row r="9601" spans="1:9" x14ac:dyDescent="0.3">
      <c r="A9601" t="s">
        <v>10118</v>
      </c>
      <c r="B9601" t="s">
        <v>10</v>
      </c>
      <c r="C9601">
        <v>7648876604</v>
      </c>
      <c r="D9601" s="2">
        <v>1</v>
      </c>
      <c r="E9601" t="str">
        <f>"4574674200978252"</f>
        <v>4574674200978252</v>
      </c>
      <c r="F9601" t="str">
        <f>"475"</f>
        <v>475</v>
      </c>
      <c r="G9601">
        <v>1</v>
      </c>
      <c r="H9601">
        <v>2023</v>
      </c>
      <c r="I9601" t="s">
        <v>9716</v>
      </c>
    </row>
    <row r="9602" spans="1:9" x14ac:dyDescent="0.3">
      <c r="A9602" t="s">
        <v>10118</v>
      </c>
      <c r="B9602" t="s">
        <v>10</v>
      </c>
      <c r="C9602">
        <v>7648876604</v>
      </c>
      <c r="D9602" s="2">
        <v>1</v>
      </c>
      <c r="E9602" t="str">
        <f>"4574674200978047"</f>
        <v>4574674200978047</v>
      </c>
      <c r="F9602" t="str">
        <f>"082"</f>
        <v>082</v>
      </c>
      <c r="G9602">
        <v>1</v>
      </c>
      <c r="H9602">
        <v>2023</v>
      </c>
      <c r="I9602" t="s">
        <v>9717</v>
      </c>
    </row>
    <row r="9603" spans="1:9" x14ac:dyDescent="0.3">
      <c r="A9603" t="s">
        <v>10118</v>
      </c>
      <c r="B9603" t="s">
        <v>10</v>
      </c>
      <c r="C9603">
        <v>7648876604</v>
      </c>
      <c r="D9603" s="2">
        <v>1</v>
      </c>
      <c r="E9603" t="str">
        <f>"4574674200978294"</f>
        <v>4574674200978294</v>
      </c>
      <c r="F9603" t="str">
        <f>"099"</f>
        <v>099</v>
      </c>
      <c r="G9603">
        <v>1</v>
      </c>
      <c r="H9603">
        <v>2023</v>
      </c>
      <c r="I9603" t="s">
        <v>9718</v>
      </c>
    </row>
    <row r="9604" spans="1:9" x14ac:dyDescent="0.3">
      <c r="A9604" t="s">
        <v>10118</v>
      </c>
      <c r="B9604" t="s">
        <v>10</v>
      </c>
      <c r="C9604">
        <v>7648876604</v>
      </c>
      <c r="D9604" s="2">
        <v>1</v>
      </c>
      <c r="E9604" t="str">
        <f>"4574674200978286"</f>
        <v>4574674200978286</v>
      </c>
      <c r="F9604" t="str">
        <f>"638"</f>
        <v>638</v>
      </c>
      <c r="G9604">
        <v>1</v>
      </c>
      <c r="H9604">
        <v>2023</v>
      </c>
      <c r="I9604" t="s">
        <v>9719</v>
      </c>
    </row>
    <row r="9605" spans="1:9" x14ac:dyDescent="0.3">
      <c r="A9605" t="s">
        <v>10119</v>
      </c>
      <c r="B9605" t="s">
        <v>11</v>
      </c>
      <c r="C9605">
        <v>7648876604</v>
      </c>
      <c r="D9605" s="2">
        <v>1</v>
      </c>
      <c r="E9605" t="str">
        <f>"4574674200978302"</f>
        <v>4574674200978302</v>
      </c>
      <c r="F9605" t="str">
        <f>"401"</f>
        <v>401</v>
      </c>
      <c r="G9605">
        <v>1</v>
      </c>
      <c r="H9605">
        <v>2023</v>
      </c>
      <c r="I9605" t="s">
        <v>9720</v>
      </c>
    </row>
    <row r="9606" spans="1:9" x14ac:dyDescent="0.3">
      <c r="A9606" t="s">
        <v>10119</v>
      </c>
      <c r="B9606" t="s">
        <v>11</v>
      </c>
      <c r="C9606">
        <v>7648876604</v>
      </c>
      <c r="D9606" s="2">
        <v>1</v>
      </c>
      <c r="E9606" t="str">
        <f>"4574674200978336"</f>
        <v>4574674200978336</v>
      </c>
      <c r="F9606" t="str">
        <f>"352"</f>
        <v>352</v>
      </c>
      <c r="G9606">
        <v>1</v>
      </c>
      <c r="H9606">
        <v>2023</v>
      </c>
      <c r="I9606" t="s">
        <v>9721</v>
      </c>
    </row>
    <row r="9607" spans="1:9" x14ac:dyDescent="0.3">
      <c r="A9607" t="s">
        <v>10119</v>
      </c>
      <c r="B9607" t="s">
        <v>11</v>
      </c>
      <c r="C9607">
        <v>7648876604</v>
      </c>
      <c r="D9607" s="2">
        <v>1</v>
      </c>
      <c r="E9607" t="str">
        <f>"4574674200978351"</f>
        <v>4574674200978351</v>
      </c>
      <c r="F9607" t="str">
        <f>"763"</f>
        <v>763</v>
      </c>
      <c r="G9607">
        <v>1</v>
      </c>
      <c r="H9607">
        <v>2023</v>
      </c>
      <c r="I9607" t="s">
        <v>9722</v>
      </c>
    </row>
    <row r="9608" spans="1:9" x14ac:dyDescent="0.3">
      <c r="A9608" t="s">
        <v>10119</v>
      </c>
      <c r="B9608" t="s">
        <v>11</v>
      </c>
      <c r="C9608">
        <v>7648876604</v>
      </c>
      <c r="D9608" s="2">
        <v>1</v>
      </c>
      <c r="E9608" t="str">
        <f>"4574674200978369"</f>
        <v>4574674200978369</v>
      </c>
      <c r="F9608" t="str">
        <f>"501"</f>
        <v>501</v>
      </c>
      <c r="G9608">
        <v>1</v>
      </c>
      <c r="H9608">
        <v>2023</v>
      </c>
      <c r="I9608" t="s">
        <v>9723</v>
      </c>
    </row>
    <row r="9609" spans="1:9" x14ac:dyDescent="0.3">
      <c r="A9609" t="s">
        <v>10119</v>
      </c>
      <c r="B9609" t="s">
        <v>11</v>
      </c>
      <c r="C9609">
        <v>7648876604</v>
      </c>
      <c r="D9609" s="2">
        <v>1</v>
      </c>
      <c r="E9609" t="str">
        <f>"4574674200978377"</f>
        <v>4574674200978377</v>
      </c>
      <c r="F9609" t="str">
        <f>"544"</f>
        <v>544</v>
      </c>
      <c r="G9609">
        <v>1</v>
      </c>
      <c r="H9609">
        <v>2023</v>
      </c>
      <c r="I9609" t="s">
        <v>9724</v>
      </c>
    </row>
    <row r="9610" spans="1:9" x14ac:dyDescent="0.3">
      <c r="A9610" t="s">
        <v>10119</v>
      </c>
      <c r="B9610" t="s">
        <v>11</v>
      </c>
      <c r="C9610">
        <v>7648876604</v>
      </c>
      <c r="D9610" s="2">
        <v>1</v>
      </c>
      <c r="E9610" t="str">
        <f>"4574674200978401"</f>
        <v>4574674200978401</v>
      </c>
      <c r="F9610" t="str">
        <f>"743"</f>
        <v>743</v>
      </c>
      <c r="G9610">
        <v>1</v>
      </c>
      <c r="H9610">
        <v>2023</v>
      </c>
      <c r="I9610" t="s">
        <v>9725</v>
      </c>
    </row>
    <row r="9611" spans="1:9" x14ac:dyDescent="0.3">
      <c r="A9611" t="s">
        <v>10119</v>
      </c>
      <c r="B9611" t="s">
        <v>11</v>
      </c>
      <c r="C9611">
        <v>7648876604</v>
      </c>
      <c r="D9611" s="2">
        <v>1</v>
      </c>
      <c r="E9611" t="str">
        <f>"4574674200978435"</f>
        <v>4574674200978435</v>
      </c>
      <c r="F9611" t="str">
        <f>"838"</f>
        <v>838</v>
      </c>
      <c r="G9611">
        <v>1</v>
      </c>
      <c r="H9611">
        <v>2023</v>
      </c>
      <c r="I9611" t="s">
        <v>9726</v>
      </c>
    </row>
    <row r="9612" spans="1:9" x14ac:dyDescent="0.3">
      <c r="A9612" t="s">
        <v>10119</v>
      </c>
      <c r="B9612" t="s">
        <v>11</v>
      </c>
      <c r="C9612">
        <v>7648876604</v>
      </c>
      <c r="D9612" s="2">
        <v>1</v>
      </c>
      <c r="E9612" t="str">
        <f>"4574674200978450"</f>
        <v>4574674200978450</v>
      </c>
      <c r="F9612" t="str">
        <f>"067"</f>
        <v>067</v>
      </c>
      <c r="G9612">
        <v>1</v>
      </c>
      <c r="H9612">
        <v>2023</v>
      </c>
      <c r="I9612" t="s">
        <v>9727</v>
      </c>
    </row>
    <row r="9613" spans="1:9" x14ac:dyDescent="0.3">
      <c r="A9613" t="s">
        <v>10119</v>
      </c>
      <c r="B9613" t="s">
        <v>11</v>
      </c>
      <c r="C9613">
        <v>7648876604</v>
      </c>
      <c r="D9613" s="2">
        <v>1</v>
      </c>
      <c r="E9613" t="str">
        <f>"4574674200978070"</f>
        <v>4574674200978070</v>
      </c>
      <c r="F9613" t="str">
        <f>"176"</f>
        <v>176</v>
      </c>
      <c r="G9613">
        <v>1</v>
      </c>
      <c r="H9613">
        <v>2023</v>
      </c>
      <c r="I9613" t="s">
        <v>9728</v>
      </c>
    </row>
    <row r="9614" spans="1:9" x14ac:dyDescent="0.3">
      <c r="A9614" t="s">
        <v>10119</v>
      </c>
      <c r="B9614" t="s">
        <v>11</v>
      </c>
      <c r="C9614">
        <v>7648876604</v>
      </c>
      <c r="D9614" s="2">
        <v>1</v>
      </c>
      <c r="E9614" t="str">
        <f>"4574674200978062"</f>
        <v>4574674200978062</v>
      </c>
      <c r="F9614" t="str">
        <f>"831"</f>
        <v>831</v>
      </c>
      <c r="G9614">
        <v>1</v>
      </c>
      <c r="H9614">
        <v>2023</v>
      </c>
      <c r="I9614" t="s">
        <v>9729</v>
      </c>
    </row>
    <row r="9615" spans="1:9" x14ac:dyDescent="0.3">
      <c r="A9615" t="s">
        <v>10120</v>
      </c>
      <c r="B9615" t="s">
        <v>12</v>
      </c>
      <c r="C9615">
        <v>7648876604</v>
      </c>
      <c r="D9615" s="2">
        <v>1</v>
      </c>
      <c r="E9615" t="str">
        <f>"4574674200978484"</f>
        <v>4574674200978484</v>
      </c>
      <c r="F9615" t="str">
        <f>"868"</f>
        <v>868</v>
      </c>
      <c r="G9615">
        <v>1</v>
      </c>
      <c r="H9615">
        <v>2023</v>
      </c>
      <c r="I9615" t="s">
        <v>9730</v>
      </c>
    </row>
    <row r="9616" spans="1:9" x14ac:dyDescent="0.3">
      <c r="A9616" t="s">
        <v>10120</v>
      </c>
      <c r="B9616" t="s">
        <v>12</v>
      </c>
      <c r="C9616">
        <v>7648876604</v>
      </c>
      <c r="D9616" s="2">
        <v>1</v>
      </c>
      <c r="E9616" t="str">
        <f>"4574674200978468"</f>
        <v>4574674200978468</v>
      </c>
      <c r="F9616" t="str">
        <f>"144"</f>
        <v>144</v>
      </c>
      <c r="G9616">
        <v>1</v>
      </c>
      <c r="H9616">
        <v>2023</v>
      </c>
      <c r="I9616" t="s">
        <v>9731</v>
      </c>
    </row>
    <row r="9617" spans="1:9" x14ac:dyDescent="0.3">
      <c r="A9617" t="s">
        <v>10120</v>
      </c>
      <c r="B9617" t="s">
        <v>12</v>
      </c>
      <c r="C9617">
        <v>7648876604</v>
      </c>
      <c r="D9617" s="2">
        <v>1</v>
      </c>
      <c r="E9617" t="str">
        <f>"4574674200978500"</f>
        <v>4574674200978500</v>
      </c>
      <c r="F9617" t="str">
        <f>"999"</f>
        <v>999</v>
      </c>
      <c r="G9617">
        <v>1</v>
      </c>
      <c r="H9617">
        <v>2023</v>
      </c>
      <c r="I9617" t="s">
        <v>9732</v>
      </c>
    </row>
    <row r="9618" spans="1:9" x14ac:dyDescent="0.3">
      <c r="A9618" t="s">
        <v>10120</v>
      </c>
      <c r="B9618" t="s">
        <v>12</v>
      </c>
      <c r="C9618">
        <v>7648876604</v>
      </c>
      <c r="D9618" s="2">
        <v>1</v>
      </c>
      <c r="E9618" t="str">
        <f>"4574674200978542"</f>
        <v>4574674200978542</v>
      </c>
      <c r="F9618" t="str">
        <f>"558"</f>
        <v>558</v>
      </c>
      <c r="G9618">
        <v>1</v>
      </c>
      <c r="H9618">
        <v>2023</v>
      </c>
      <c r="I9618" t="s">
        <v>9733</v>
      </c>
    </row>
    <row r="9619" spans="1:9" x14ac:dyDescent="0.3">
      <c r="A9619" t="s">
        <v>10120</v>
      </c>
      <c r="B9619" t="s">
        <v>12</v>
      </c>
      <c r="C9619">
        <v>7648876604</v>
      </c>
      <c r="D9619" s="2">
        <v>1</v>
      </c>
      <c r="E9619" t="str">
        <f>"4574674200978534"</f>
        <v>4574674200978534</v>
      </c>
      <c r="F9619" t="str">
        <f>"986"</f>
        <v>986</v>
      </c>
      <c r="G9619">
        <v>1</v>
      </c>
      <c r="H9619">
        <v>2023</v>
      </c>
      <c r="I9619" t="s">
        <v>9734</v>
      </c>
    </row>
    <row r="9620" spans="1:9" x14ac:dyDescent="0.3">
      <c r="A9620" t="s">
        <v>10120</v>
      </c>
      <c r="B9620" t="s">
        <v>12</v>
      </c>
      <c r="C9620">
        <v>7648876604</v>
      </c>
      <c r="D9620" s="2">
        <v>1</v>
      </c>
      <c r="E9620" t="str">
        <f>"4574674200978567"</f>
        <v>4574674200978567</v>
      </c>
      <c r="F9620" t="str">
        <f>"355"</f>
        <v>355</v>
      </c>
      <c r="G9620">
        <v>1</v>
      </c>
      <c r="H9620">
        <v>2023</v>
      </c>
      <c r="I9620" t="s">
        <v>9735</v>
      </c>
    </row>
    <row r="9621" spans="1:9" x14ac:dyDescent="0.3">
      <c r="A9621" t="s">
        <v>10120</v>
      </c>
      <c r="B9621" t="s">
        <v>12</v>
      </c>
      <c r="C9621">
        <v>7648876604</v>
      </c>
      <c r="D9621" s="2">
        <v>1</v>
      </c>
      <c r="E9621" t="str">
        <f>"4574674200978583"</f>
        <v>4574674200978583</v>
      </c>
      <c r="F9621" t="str">
        <f>"348"</f>
        <v>348</v>
      </c>
      <c r="G9621">
        <v>1</v>
      </c>
      <c r="H9621">
        <v>2023</v>
      </c>
      <c r="I9621" t="s">
        <v>9736</v>
      </c>
    </row>
    <row r="9622" spans="1:9" x14ac:dyDescent="0.3">
      <c r="A9622" t="s">
        <v>10120</v>
      </c>
      <c r="B9622" t="s">
        <v>12</v>
      </c>
      <c r="C9622">
        <v>7648876604</v>
      </c>
      <c r="D9622" s="2">
        <v>1</v>
      </c>
      <c r="E9622" t="str">
        <f>"4574674200978104"</f>
        <v>4574674200978104</v>
      </c>
      <c r="F9622" t="str">
        <f>"318"</f>
        <v>318</v>
      </c>
      <c r="G9622">
        <v>1</v>
      </c>
      <c r="H9622">
        <v>2023</v>
      </c>
      <c r="I9622" t="s">
        <v>9737</v>
      </c>
    </row>
    <row r="9623" spans="1:9" x14ac:dyDescent="0.3">
      <c r="A9623" t="s">
        <v>10120</v>
      </c>
      <c r="B9623" t="s">
        <v>12</v>
      </c>
      <c r="C9623">
        <v>7648876604</v>
      </c>
      <c r="D9623" s="2">
        <v>1</v>
      </c>
      <c r="E9623" t="str">
        <f>"4574674200978112"</f>
        <v>4574674200978112</v>
      </c>
      <c r="F9623" t="str">
        <f>"665"</f>
        <v>665</v>
      </c>
      <c r="G9623">
        <v>1</v>
      </c>
      <c r="H9623">
        <v>2023</v>
      </c>
      <c r="I9623" t="s">
        <v>9738</v>
      </c>
    </row>
    <row r="9624" spans="1:9" x14ac:dyDescent="0.3">
      <c r="A9624" t="s">
        <v>10120</v>
      </c>
      <c r="B9624" t="s">
        <v>12</v>
      </c>
      <c r="C9624">
        <v>7648876604</v>
      </c>
      <c r="D9624" s="2">
        <v>1</v>
      </c>
      <c r="E9624" t="str">
        <f>"4574674200978658"</f>
        <v>4574674200978658</v>
      </c>
      <c r="F9624" t="str">
        <f>"476"</f>
        <v>476</v>
      </c>
      <c r="G9624">
        <v>1</v>
      </c>
      <c r="H9624">
        <v>2023</v>
      </c>
      <c r="I9624" t="s">
        <v>9739</v>
      </c>
    </row>
    <row r="9625" spans="1:9" x14ac:dyDescent="0.3">
      <c r="A9625" t="s">
        <v>10121</v>
      </c>
      <c r="B9625" t="s">
        <v>13</v>
      </c>
      <c r="C9625">
        <v>7648876604</v>
      </c>
      <c r="D9625" s="2">
        <v>1</v>
      </c>
      <c r="E9625" t="str">
        <f>"4574674200978617"</f>
        <v>4574674200978617</v>
      </c>
      <c r="F9625" t="str">
        <f>"483"</f>
        <v>483</v>
      </c>
      <c r="G9625">
        <v>1</v>
      </c>
      <c r="H9625">
        <v>2023</v>
      </c>
      <c r="I9625" t="s">
        <v>9740</v>
      </c>
    </row>
    <row r="9626" spans="1:9" x14ac:dyDescent="0.3">
      <c r="A9626" t="s">
        <v>10121</v>
      </c>
      <c r="B9626" t="s">
        <v>13</v>
      </c>
      <c r="C9626">
        <v>7648876604</v>
      </c>
      <c r="D9626" s="2">
        <v>1</v>
      </c>
      <c r="E9626" t="str">
        <f>"4574674200978682"</f>
        <v>4574674200978682</v>
      </c>
      <c r="F9626" t="str">
        <f>"474"</f>
        <v>474</v>
      </c>
      <c r="G9626">
        <v>1</v>
      </c>
      <c r="H9626">
        <v>2023</v>
      </c>
      <c r="I9626" t="s">
        <v>9741</v>
      </c>
    </row>
    <row r="9627" spans="1:9" x14ac:dyDescent="0.3">
      <c r="A9627" t="s">
        <v>10121</v>
      </c>
      <c r="B9627" t="s">
        <v>13</v>
      </c>
      <c r="C9627">
        <v>7648876604</v>
      </c>
      <c r="D9627" s="2">
        <v>1</v>
      </c>
      <c r="E9627" t="str">
        <f>"4574674200978666"</f>
        <v>4574674200978666</v>
      </c>
      <c r="F9627" t="str">
        <f>"522"</f>
        <v>522</v>
      </c>
      <c r="G9627">
        <v>1</v>
      </c>
      <c r="H9627">
        <v>2023</v>
      </c>
      <c r="I9627" t="s">
        <v>9742</v>
      </c>
    </row>
    <row r="9628" spans="1:9" x14ac:dyDescent="0.3">
      <c r="A9628" t="s">
        <v>10121</v>
      </c>
      <c r="B9628" t="s">
        <v>13</v>
      </c>
      <c r="C9628">
        <v>7648876604</v>
      </c>
      <c r="D9628" s="2">
        <v>1</v>
      </c>
      <c r="E9628" t="str">
        <f>"4574674200978674"</f>
        <v>4574674200978674</v>
      </c>
      <c r="F9628" t="str">
        <f>"745"</f>
        <v>745</v>
      </c>
      <c r="G9628">
        <v>1</v>
      </c>
      <c r="H9628">
        <v>2023</v>
      </c>
      <c r="I9628" t="s">
        <v>9743</v>
      </c>
    </row>
    <row r="9629" spans="1:9" x14ac:dyDescent="0.3">
      <c r="A9629" t="s">
        <v>10121</v>
      </c>
      <c r="B9629" t="s">
        <v>13</v>
      </c>
      <c r="C9629">
        <v>7648876604</v>
      </c>
      <c r="D9629" s="2">
        <v>1</v>
      </c>
      <c r="E9629" t="str">
        <f>"4574674200978146"</f>
        <v>4574674200978146</v>
      </c>
      <c r="F9629" t="str">
        <f>"496"</f>
        <v>496</v>
      </c>
      <c r="G9629">
        <v>1</v>
      </c>
      <c r="H9629">
        <v>2023</v>
      </c>
      <c r="I9629" t="s">
        <v>9744</v>
      </c>
    </row>
    <row r="9630" spans="1:9" x14ac:dyDescent="0.3">
      <c r="A9630" t="s">
        <v>10121</v>
      </c>
      <c r="B9630" t="s">
        <v>13</v>
      </c>
      <c r="C9630">
        <v>7648876604</v>
      </c>
      <c r="D9630" s="2">
        <v>1</v>
      </c>
      <c r="E9630" t="str">
        <f>"4574674200978161"</f>
        <v>4574674200978161</v>
      </c>
      <c r="F9630" t="str">
        <f>"800"</f>
        <v>800</v>
      </c>
      <c r="G9630">
        <v>1</v>
      </c>
      <c r="H9630">
        <v>2023</v>
      </c>
      <c r="I9630" t="s">
        <v>9745</v>
      </c>
    </row>
    <row r="9631" spans="1:9" x14ac:dyDescent="0.3">
      <c r="A9631" t="s">
        <v>10121</v>
      </c>
      <c r="B9631" t="s">
        <v>13</v>
      </c>
      <c r="C9631">
        <v>7648876604</v>
      </c>
      <c r="D9631" s="2">
        <v>1</v>
      </c>
      <c r="E9631" t="str">
        <f>"4574674200978773"</f>
        <v>4574674200978773</v>
      </c>
      <c r="F9631" t="str">
        <f>"759"</f>
        <v>759</v>
      </c>
      <c r="G9631">
        <v>1</v>
      </c>
      <c r="H9631">
        <v>2023</v>
      </c>
      <c r="I9631" t="s">
        <v>9746</v>
      </c>
    </row>
    <row r="9632" spans="1:9" x14ac:dyDescent="0.3">
      <c r="A9632" t="s">
        <v>10121</v>
      </c>
      <c r="B9632" t="s">
        <v>13</v>
      </c>
      <c r="C9632">
        <v>7648876604</v>
      </c>
      <c r="D9632" s="2">
        <v>1</v>
      </c>
      <c r="E9632" t="str">
        <f>"4574674200978807"</f>
        <v>4574674200978807</v>
      </c>
      <c r="F9632" t="str">
        <f>"279"</f>
        <v>279</v>
      </c>
      <c r="G9632">
        <v>1</v>
      </c>
      <c r="H9632">
        <v>2023</v>
      </c>
      <c r="I9632" t="s">
        <v>9747</v>
      </c>
    </row>
    <row r="9633" spans="1:9" x14ac:dyDescent="0.3">
      <c r="A9633" t="s">
        <v>10121</v>
      </c>
      <c r="B9633" t="s">
        <v>13</v>
      </c>
      <c r="C9633">
        <v>7648876604</v>
      </c>
      <c r="D9633" s="2">
        <v>1</v>
      </c>
      <c r="E9633" t="str">
        <f>"4574674200978757"</f>
        <v>4574674200978757</v>
      </c>
      <c r="F9633" t="str">
        <f>"553"</f>
        <v>553</v>
      </c>
      <c r="G9633">
        <v>1</v>
      </c>
      <c r="H9633">
        <v>2023</v>
      </c>
      <c r="I9633" t="s">
        <v>9748</v>
      </c>
    </row>
    <row r="9634" spans="1:9" x14ac:dyDescent="0.3">
      <c r="A9634" t="s">
        <v>10121</v>
      </c>
      <c r="B9634" t="s">
        <v>13</v>
      </c>
      <c r="C9634">
        <v>7648876604</v>
      </c>
      <c r="D9634" s="2">
        <v>1</v>
      </c>
      <c r="E9634" t="str">
        <f>"4574674200978732"</f>
        <v>4574674200978732</v>
      </c>
      <c r="F9634" t="str">
        <f>"824"</f>
        <v>824</v>
      </c>
      <c r="G9634">
        <v>1</v>
      </c>
      <c r="H9634">
        <v>2023</v>
      </c>
      <c r="I9634" t="s">
        <v>9749</v>
      </c>
    </row>
    <row r="9635" spans="1:9" x14ac:dyDescent="0.3">
      <c r="A9635" t="s">
        <v>10122</v>
      </c>
      <c r="B9635" t="s">
        <v>14</v>
      </c>
      <c r="C9635">
        <v>7648876604</v>
      </c>
      <c r="D9635" s="2">
        <v>1</v>
      </c>
      <c r="E9635" t="str">
        <f>"4574674200978781"</f>
        <v>4574674200978781</v>
      </c>
      <c r="F9635" t="str">
        <f>"603"</f>
        <v>603</v>
      </c>
      <c r="G9635">
        <v>1</v>
      </c>
      <c r="H9635">
        <v>2023</v>
      </c>
      <c r="I9635" t="s">
        <v>9750</v>
      </c>
    </row>
    <row r="9636" spans="1:9" x14ac:dyDescent="0.3">
      <c r="A9636" t="s">
        <v>10122</v>
      </c>
      <c r="B9636" t="s">
        <v>14</v>
      </c>
      <c r="C9636">
        <v>7648876604</v>
      </c>
      <c r="D9636" s="2">
        <v>1</v>
      </c>
      <c r="E9636" t="str">
        <f>"4574674200978187"</f>
        <v>4574674200978187</v>
      </c>
      <c r="F9636" t="str">
        <f>"908"</f>
        <v>908</v>
      </c>
      <c r="G9636">
        <v>1</v>
      </c>
      <c r="H9636">
        <v>2023</v>
      </c>
      <c r="I9636" t="s">
        <v>9751</v>
      </c>
    </row>
    <row r="9637" spans="1:9" x14ac:dyDescent="0.3">
      <c r="A9637" t="s">
        <v>10122</v>
      </c>
      <c r="B9637" t="s">
        <v>14</v>
      </c>
      <c r="C9637">
        <v>7648876604</v>
      </c>
      <c r="D9637" s="2">
        <v>1</v>
      </c>
      <c r="E9637" t="str">
        <f>"4574674200978815"</f>
        <v>4574674200978815</v>
      </c>
      <c r="F9637" t="str">
        <f>"838"</f>
        <v>838</v>
      </c>
      <c r="G9637">
        <v>1</v>
      </c>
      <c r="H9637">
        <v>2023</v>
      </c>
      <c r="I9637" t="s">
        <v>9752</v>
      </c>
    </row>
    <row r="9638" spans="1:9" x14ac:dyDescent="0.3">
      <c r="A9638" t="s">
        <v>10122</v>
      </c>
      <c r="B9638" t="s">
        <v>14</v>
      </c>
      <c r="C9638">
        <v>7648876604</v>
      </c>
      <c r="D9638" s="2">
        <v>1</v>
      </c>
      <c r="E9638" t="str">
        <f>"4574674200978823"</f>
        <v>4574674200978823</v>
      </c>
      <c r="F9638" t="str">
        <f>"237"</f>
        <v>237</v>
      </c>
      <c r="G9638">
        <v>1</v>
      </c>
      <c r="H9638">
        <v>2023</v>
      </c>
      <c r="I9638" t="s">
        <v>9753</v>
      </c>
    </row>
    <row r="9639" spans="1:9" x14ac:dyDescent="0.3">
      <c r="A9639" t="s">
        <v>10122</v>
      </c>
      <c r="B9639" t="s">
        <v>14</v>
      </c>
      <c r="C9639">
        <v>7648876604</v>
      </c>
      <c r="D9639" s="2">
        <v>1</v>
      </c>
      <c r="E9639" t="str">
        <f>"4574674200978195"</f>
        <v>4574674200978195</v>
      </c>
      <c r="F9639" t="str">
        <f>"321"</f>
        <v>321</v>
      </c>
      <c r="G9639">
        <v>1</v>
      </c>
      <c r="H9639">
        <v>2023</v>
      </c>
      <c r="I9639" t="s">
        <v>9754</v>
      </c>
    </row>
    <row r="9640" spans="1:9" x14ac:dyDescent="0.3">
      <c r="A9640" t="s">
        <v>10122</v>
      </c>
      <c r="B9640" t="s">
        <v>14</v>
      </c>
      <c r="C9640">
        <v>7648876604</v>
      </c>
      <c r="D9640" s="2">
        <v>1</v>
      </c>
      <c r="E9640" t="str">
        <f>"4574674200978856"</f>
        <v>4574674200978856</v>
      </c>
      <c r="F9640" t="str">
        <f>"371"</f>
        <v>371</v>
      </c>
      <c r="G9640">
        <v>1</v>
      </c>
      <c r="H9640">
        <v>2023</v>
      </c>
      <c r="I9640" t="s">
        <v>9755</v>
      </c>
    </row>
    <row r="9641" spans="1:9" x14ac:dyDescent="0.3">
      <c r="A9641" t="s">
        <v>10122</v>
      </c>
      <c r="B9641" t="s">
        <v>14</v>
      </c>
      <c r="C9641">
        <v>7648876604</v>
      </c>
      <c r="D9641" s="2">
        <v>1</v>
      </c>
      <c r="E9641" t="str">
        <f>"4574674200978864"</f>
        <v>4574674200978864</v>
      </c>
      <c r="F9641" t="str">
        <f>"891"</f>
        <v>891</v>
      </c>
      <c r="G9641">
        <v>1</v>
      </c>
      <c r="H9641">
        <v>2023</v>
      </c>
      <c r="I9641" t="s">
        <v>9756</v>
      </c>
    </row>
    <row r="9642" spans="1:9" x14ac:dyDescent="0.3">
      <c r="A9642" t="s">
        <v>10122</v>
      </c>
      <c r="B9642" t="s">
        <v>14</v>
      </c>
      <c r="C9642">
        <v>7648876604</v>
      </c>
      <c r="D9642" s="2">
        <v>1</v>
      </c>
      <c r="E9642" t="str">
        <f>"4574674200978898"</f>
        <v>4574674200978898</v>
      </c>
      <c r="F9642" t="str">
        <f>"857"</f>
        <v>857</v>
      </c>
      <c r="G9642">
        <v>1</v>
      </c>
      <c r="H9642">
        <v>2023</v>
      </c>
      <c r="I9642" t="s">
        <v>9757</v>
      </c>
    </row>
    <row r="9643" spans="1:9" x14ac:dyDescent="0.3">
      <c r="A9643" t="s">
        <v>10122</v>
      </c>
      <c r="B9643" t="s">
        <v>14</v>
      </c>
      <c r="C9643">
        <v>7648876604</v>
      </c>
      <c r="D9643" s="2">
        <v>1</v>
      </c>
      <c r="E9643" t="str">
        <f>"4574674200979011"</f>
        <v>4574674200979011</v>
      </c>
      <c r="F9643" t="str">
        <f>"694"</f>
        <v>694</v>
      </c>
      <c r="G9643">
        <v>1</v>
      </c>
      <c r="H9643">
        <v>2023</v>
      </c>
      <c r="I9643" t="s">
        <v>9758</v>
      </c>
    </row>
    <row r="9644" spans="1:9" x14ac:dyDescent="0.3">
      <c r="A9644" t="s">
        <v>10122</v>
      </c>
      <c r="B9644" t="s">
        <v>14</v>
      </c>
      <c r="C9644">
        <v>7648876604</v>
      </c>
      <c r="D9644" s="2">
        <v>1</v>
      </c>
      <c r="E9644" t="str">
        <f>"4574674200978922"</f>
        <v>4574674200978922</v>
      </c>
      <c r="F9644" t="str">
        <f>"939"</f>
        <v>939</v>
      </c>
      <c r="G9644">
        <v>1</v>
      </c>
      <c r="H9644">
        <v>2023</v>
      </c>
      <c r="I9644" t="s">
        <v>9759</v>
      </c>
    </row>
    <row r="9645" spans="1:9" x14ac:dyDescent="0.3">
      <c r="A9645" t="s">
        <v>10123</v>
      </c>
      <c r="B9645" t="s">
        <v>15</v>
      </c>
      <c r="C9645">
        <v>7648876604</v>
      </c>
      <c r="D9645" s="2">
        <v>1</v>
      </c>
      <c r="E9645" t="str">
        <f>"4574674200978914"</f>
        <v>4574674200978914</v>
      </c>
      <c r="F9645" t="str">
        <f>"662"</f>
        <v>662</v>
      </c>
      <c r="G9645">
        <v>1</v>
      </c>
      <c r="H9645">
        <v>2023</v>
      </c>
      <c r="I9645" t="s">
        <v>9760</v>
      </c>
    </row>
    <row r="9646" spans="1:9" x14ac:dyDescent="0.3">
      <c r="A9646" t="s">
        <v>10123</v>
      </c>
      <c r="B9646" t="s">
        <v>15</v>
      </c>
      <c r="C9646">
        <v>7648876604</v>
      </c>
      <c r="D9646" s="2">
        <v>1</v>
      </c>
      <c r="E9646" t="str">
        <f>"4574674200978955"</f>
        <v>4574674200978955</v>
      </c>
      <c r="F9646" t="str">
        <f>"754"</f>
        <v>754</v>
      </c>
      <c r="G9646">
        <v>1</v>
      </c>
      <c r="H9646">
        <v>2023</v>
      </c>
      <c r="I9646" t="s">
        <v>9761</v>
      </c>
    </row>
    <row r="9647" spans="1:9" x14ac:dyDescent="0.3">
      <c r="A9647" t="s">
        <v>10123</v>
      </c>
      <c r="B9647" t="s">
        <v>15</v>
      </c>
      <c r="C9647">
        <v>7648876604</v>
      </c>
      <c r="D9647" s="2">
        <v>1</v>
      </c>
      <c r="E9647" t="str">
        <f>"4574674200978989"</f>
        <v>4574674200978989</v>
      </c>
      <c r="F9647" t="str">
        <f>"485"</f>
        <v>485</v>
      </c>
      <c r="G9647">
        <v>1</v>
      </c>
      <c r="H9647">
        <v>2023</v>
      </c>
      <c r="I9647" t="s">
        <v>9762</v>
      </c>
    </row>
    <row r="9648" spans="1:9" x14ac:dyDescent="0.3">
      <c r="A9648" t="s">
        <v>10123</v>
      </c>
      <c r="B9648" t="s">
        <v>15</v>
      </c>
      <c r="C9648">
        <v>7648876604</v>
      </c>
      <c r="D9648" s="2">
        <v>1</v>
      </c>
      <c r="E9648" t="str">
        <f>"4574674200979201"</f>
        <v>4574674200979201</v>
      </c>
      <c r="F9648" t="str">
        <f>"822"</f>
        <v>822</v>
      </c>
      <c r="G9648">
        <v>1</v>
      </c>
      <c r="H9648">
        <v>2023</v>
      </c>
      <c r="I9648" t="s">
        <v>9763</v>
      </c>
    </row>
    <row r="9649" spans="1:9" x14ac:dyDescent="0.3">
      <c r="A9649" t="s">
        <v>10123</v>
      </c>
      <c r="B9649" t="s">
        <v>15</v>
      </c>
      <c r="C9649">
        <v>7648876604</v>
      </c>
      <c r="D9649" s="2">
        <v>1</v>
      </c>
      <c r="E9649" t="str">
        <f>"4574674200979037"</f>
        <v>4574674200979037</v>
      </c>
      <c r="F9649" t="str">
        <f>"564"</f>
        <v>564</v>
      </c>
      <c r="G9649">
        <v>1</v>
      </c>
      <c r="H9649">
        <v>2023</v>
      </c>
      <c r="I9649" t="s">
        <v>9764</v>
      </c>
    </row>
    <row r="9650" spans="1:9" x14ac:dyDescent="0.3">
      <c r="A9650" t="s">
        <v>10123</v>
      </c>
      <c r="B9650" t="s">
        <v>15</v>
      </c>
      <c r="C9650">
        <v>7648876604</v>
      </c>
      <c r="D9650" s="2">
        <v>1</v>
      </c>
      <c r="E9650" t="str">
        <f>"4574674200979227"</f>
        <v>4574674200979227</v>
      </c>
      <c r="F9650" t="str">
        <f>"332"</f>
        <v>332</v>
      </c>
      <c r="G9650">
        <v>1</v>
      </c>
      <c r="H9650">
        <v>2023</v>
      </c>
      <c r="I9650" t="s">
        <v>9765</v>
      </c>
    </row>
    <row r="9651" spans="1:9" x14ac:dyDescent="0.3">
      <c r="A9651" t="s">
        <v>10123</v>
      </c>
      <c r="B9651" t="s">
        <v>15</v>
      </c>
      <c r="C9651">
        <v>7648876604</v>
      </c>
      <c r="D9651" s="2">
        <v>1</v>
      </c>
      <c r="E9651" t="str">
        <f>"4574674200979235"</f>
        <v>4574674200979235</v>
      </c>
      <c r="F9651" t="str">
        <f>"368"</f>
        <v>368</v>
      </c>
      <c r="G9651">
        <v>1</v>
      </c>
      <c r="H9651">
        <v>2023</v>
      </c>
      <c r="I9651" t="s">
        <v>9766</v>
      </c>
    </row>
    <row r="9652" spans="1:9" x14ac:dyDescent="0.3">
      <c r="A9652" t="s">
        <v>10123</v>
      </c>
      <c r="B9652" t="s">
        <v>15</v>
      </c>
      <c r="C9652">
        <v>7648876604</v>
      </c>
      <c r="D9652" s="2">
        <v>1</v>
      </c>
      <c r="E9652" t="str">
        <f>"4574674200979243"</f>
        <v>4574674200979243</v>
      </c>
      <c r="F9652" t="str">
        <f>"012"</f>
        <v>012</v>
      </c>
      <c r="G9652">
        <v>1</v>
      </c>
      <c r="H9652">
        <v>2023</v>
      </c>
      <c r="I9652" t="s">
        <v>9767</v>
      </c>
    </row>
    <row r="9653" spans="1:9" x14ac:dyDescent="0.3">
      <c r="A9653" t="s">
        <v>10123</v>
      </c>
      <c r="B9653" t="s">
        <v>15</v>
      </c>
      <c r="C9653">
        <v>7648876604</v>
      </c>
      <c r="D9653" s="2">
        <v>1</v>
      </c>
      <c r="E9653" t="str">
        <f>"4574674200979276"</f>
        <v>4574674200979276</v>
      </c>
      <c r="F9653" t="str">
        <f>"315"</f>
        <v>315</v>
      </c>
      <c r="G9653">
        <v>1</v>
      </c>
      <c r="H9653">
        <v>2023</v>
      </c>
      <c r="I9653" t="s">
        <v>9768</v>
      </c>
    </row>
    <row r="9654" spans="1:9" x14ac:dyDescent="0.3">
      <c r="A9654" t="s">
        <v>10123</v>
      </c>
      <c r="B9654" t="s">
        <v>15</v>
      </c>
      <c r="C9654">
        <v>7648876604</v>
      </c>
      <c r="D9654" s="2">
        <v>1</v>
      </c>
      <c r="E9654" t="str">
        <f>"4574674200979300"</f>
        <v>4574674200979300</v>
      </c>
      <c r="F9654" t="str">
        <f>"955"</f>
        <v>955</v>
      </c>
      <c r="G9654">
        <v>1</v>
      </c>
      <c r="H9654">
        <v>2023</v>
      </c>
      <c r="I9654" t="s">
        <v>9769</v>
      </c>
    </row>
    <row r="9655" spans="1:9" x14ac:dyDescent="0.3">
      <c r="A9655" t="s">
        <v>10124</v>
      </c>
      <c r="B9655" t="s">
        <v>16</v>
      </c>
      <c r="C9655">
        <v>7648876604</v>
      </c>
      <c r="D9655" s="2">
        <v>1</v>
      </c>
      <c r="E9655" t="str">
        <f>"4574674200979052"</f>
        <v>4574674200979052</v>
      </c>
      <c r="F9655" t="str">
        <f>"863"</f>
        <v>863</v>
      </c>
      <c r="G9655">
        <v>1</v>
      </c>
      <c r="H9655">
        <v>2023</v>
      </c>
      <c r="I9655" t="s">
        <v>9770</v>
      </c>
    </row>
    <row r="9656" spans="1:9" x14ac:dyDescent="0.3">
      <c r="A9656" t="s">
        <v>10124</v>
      </c>
      <c r="B9656" t="s">
        <v>16</v>
      </c>
      <c r="C9656">
        <v>7648876604</v>
      </c>
      <c r="D9656" s="2">
        <v>1</v>
      </c>
      <c r="E9656" t="str">
        <f>"4574674200979318"</f>
        <v>4574674200979318</v>
      </c>
      <c r="F9656" t="str">
        <f>"016"</f>
        <v>016</v>
      </c>
      <c r="G9656">
        <v>1</v>
      </c>
      <c r="H9656">
        <v>2023</v>
      </c>
      <c r="I9656" t="s">
        <v>9771</v>
      </c>
    </row>
    <row r="9657" spans="1:9" x14ac:dyDescent="0.3">
      <c r="A9657" t="s">
        <v>10124</v>
      </c>
      <c r="B9657" t="s">
        <v>16</v>
      </c>
      <c r="C9657">
        <v>7648876604</v>
      </c>
      <c r="D9657" s="2">
        <v>1</v>
      </c>
      <c r="E9657" t="str">
        <f>"4574674200979334"</f>
        <v>4574674200979334</v>
      </c>
      <c r="F9657" t="str">
        <f>"554"</f>
        <v>554</v>
      </c>
      <c r="G9657">
        <v>1</v>
      </c>
      <c r="H9657">
        <v>2023</v>
      </c>
      <c r="I9657" t="s">
        <v>9772</v>
      </c>
    </row>
    <row r="9658" spans="1:9" x14ac:dyDescent="0.3">
      <c r="A9658" t="s">
        <v>10124</v>
      </c>
      <c r="B9658" t="s">
        <v>16</v>
      </c>
      <c r="C9658">
        <v>7648876604</v>
      </c>
      <c r="D9658" s="2">
        <v>1</v>
      </c>
      <c r="E9658" t="str">
        <f>"4574674200979342"</f>
        <v>4574674200979342</v>
      </c>
      <c r="F9658" t="str">
        <f>"949"</f>
        <v>949</v>
      </c>
      <c r="G9658">
        <v>1</v>
      </c>
      <c r="H9658">
        <v>2023</v>
      </c>
      <c r="I9658" t="s">
        <v>9773</v>
      </c>
    </row>
    <row r="9659" spans="1:9" x14ac:dyDescent="0.3">
      <c r="A9659" t="s">
        <v>10124</v>
      </c>
      <c r="B9659" t="s">
        <v>16</v>
      </c>
      <c r="C9659">
        <v>7648876604</v>
      </c>
      <c r="D9659" s="2">
        <v>1</v>
      </c>
      <c r="E9659" t="str">
        <f>"4574674200979417"</f>
        <v>4574674200979417</v>
      </c>
      <c r="F9659" t="str">
        <f>"702"</f>
        <v>702</v>
      </c>
      <c r="G9659">
        <v>1</v>
      </c>
      <c r="H9659">
        <v>2023</v>
      </c>
      <c r="I9659" t="s">
        <v>9774</v>
      </c>
    </row>
    <row r="9660" spans="1:9" x14ac:dyDescent="0.3">
      <c r="A9660" t="s">
        <v>10124</v>
      </c>
      <c r="B9660" t="s">
        <v>16</v>
      </c>
      <c r="C9660">
        <v>7648876604</v>
      </c>
      <c r="D9660" s="2">
        <v>1</v>
      </c>
      <c r="E9660" t="str">
        <f>"4574674200979391"</f>
        <v>4574674200979391</v>
      </c>
      <c r="F9660" t="str">
        <f>"894"</f>
        <v>894</v>
      </c>
      <c r="G9660">
        <v>1</v>
      </c>
      <c r="H9660">
        <v>2023</v>
      </c>
      <c r="I9660" t="s">
        <v>9775</v>
      </c>
    </row>
    <row r="9661" spans="1:9" x14ac:dyDescent="0.3">
      <c r="A9661" t="s">
        <v>10124</v>
      </c>
      <c r="B9661" t="s">
        <v>16</v>
      </c>
      <c r="C9661">
        <v>7648876604</v>
      </c>
      <c r="D9661" s="2">
        <v>1</v>
      </c>
      <c r="E9661" t="str">
        <f>"4574674200979409"</f>
        <v>4574674200979409</v>
      </c>
      <c r="F9661" t="str">
        <f>"993"</f>
        <v>993</v>
      </c>
      <c r="G9661">
        <v>1</v>
      </c>
      <c r="H9661">
        <v>2023</v>
      </c>
      <c r="I9661" t="s">
        <v>9776</v>
      </c>
    </row>
    <row r="9662" spans="1:9" x14ac:dyDescent="0.3">
      <c r="A9662" t="s">
        <v>10124</v>
      </c>
      <c r="B9662" t="s">
        <v>16</v>
      </c>
      <c r="C9662">
        <v>7648876604</v>
      </c>
      <c r="D9662" s="2">
        <v>1</v>
      </c>
      <c r="E9662" t="str">
        <f>"4574674200979425"</f>
        <v>4574674200979425</v>
      </c>
      <c r="F9662" t="str">
        <f>"841"</f>
        <v>841</v>
      </c>
      <c r="G9662">
        <v>1</v>
      </c>
      <c r="H9662">
        <v>2023</v>
      </c>
      <c r="I9662" t="s">
        <v>9777</v>
      </c>
    </row>
    <row r="9663" spans="1:9" x14ac:dyDescent="0.3">
      <c r="A9663" t="s">
        <v>10124</v>
      </c>
      <c r="B9663" t="s">
        <v>16</v>
      </c>
      <c r="C9663">
        <v>7648876604</v>
      </c>
      <c r="D9663" s="2">
        <v>1</v>
      </c>
      <c r="E9663" t="str">
        <f>"4574674200979078"</f>
        <v>4574674200979078</v>
      </c>
      <c r="F9663" t="str">
        <f>"596"</f>
        <v>596</v>
      </c>
      <c r="G9663">
        <v>1</v>
      </c>
      <c r="H9663">
        <v>2023</v>
      </c>
      <c r="I9663" t="s">
        <v>9778</v>
      </c>
    </row>
    <row r="9664" spans="1:9" x14ac:dyDescent="0.3">
      <c r="A9664" t="s">
        <v>10124</v>
      </c>
      <c r="B9664" t="s">
        <v>16</v>
      </c>
      <c r="C9664">
        <v>7648876604</v>
      </c>
      <c r="D9664" s="2">
        <v>1</v>
      </c>
      <c r="E9664" t="str">
        <f>"4574674200979524"</f>
        <v>4574674200979524</v>
      </c>
      <c r="F9664" t="str">
        <f>"089"</f>
        <v>089</v>
      </c>
      <c r="G9664">
        <v>1</v>
      </c>
      <c r="H9664">
        <v>2023</v>
      </c>
      <c r="I9664" t="s">
        <v>9779</v>
      </c>
    </row>
    <row r="9665" spans="1:9" x14ac:dyDescent="0.3">
      <c r="A9665" t="s">
        <v>10125</v>
      </c>
      <c r="B9665" t="s">
        <v>17</v>
      </c>
      <c r="C9665">
        <v>7648876604</v>
      </c>
      <c r="D9665" s="2">
        <v>1</v>
      </c>
      <c r="E9665" t="str">
        <f>"4574674200979516"</f>
        <v>4574674200979516</v>
      </c>
      <c r="F9665" t="str">
        <f>"728"</f>
        <v>728</v>
      </c>
      <c r="G9665">
        <v>1</v>
      </c>
      <c r="H9665">
        <v>2023</v>
      </c>
      <c r="I9665" t="s">
        <v>9780</v>
      </c>
    </row>
    <row r="9666" spans="1:9" x14ac:dyDescent="0.3">
      <c r="A9666" t="s">
        <v>10125</v>
      </c>
      <c r="B9666" t="s">
        <v>17</v>
      </c>
      <c r="C9666">
        <v>7648876604</v>
      </c>
      <c r="D9666" s="2">
        <v>1</v>
      </c>
      <c r="E9666" t="str">
        <f>"4574674200979532"</f>
        <v>4574674200979532</v>
      </c>
      <c r="F9666" t="str">
        <f>"527"</f>
        <v>527</v>
      </c>
      <c r="G9666">
        <v>1</v>
      </c>
      <c r="H9666">
        <v>2023</v>
      </c>
      <c r="I9666" t="s">
        <v>9781</v>
      </c>
    </row>
    <row r="9667" spans="1:9" x14ac:dyDescent="0.3">
      <c r="A9667" t="s">
        <v>10125</v>
      </c>
      <c r="B9667" t="s">
        <v>17</v>
      </c>
      <c r="C9667">
        <v>7648876604</v>
      </c>
      <c r="D9667" s="2">
        <v>1</v>
      </c>
      <c r="E9667" t="str">
        <f>"4574674200979607"</f>
        <v>4574674200979607</v>
      </c>
      <c r="F9667" t="str">
        <f>"026"</f>
        <v>026</v>
      </c>
      <c r="G9667">
        <v>1</v>
      </c>
      <c r="H9667">
        <v>2023</v>
      </c>
      <c r="I9667" t="s">
        <v>9782</v>
      </c>
    </row>
    <row r="9668" spans="1:9" x14ac:dyDescent="0.3">
      <c r="A9668" t="s">
        <v>10125</v>
      </c>
      <c r="B9668" t="s">
        <v>17</v>
      </c>
      <c r="C9668">
        <v>7648876604</v>
      </c>
      <c r="D9668" s="2">
        <v>1</v>
      </c>
      <c r="E9668" t="str">
        <f>"4574674200979573"</f>
        <v>4574674200979573</v>
      </c>
      <c r="F9668" t="str">
        <f>"956"</f>
        <v>956</v>
      </c>
      <c r="G9668">
        <v>1</v>
      </c>
      <c r="H9668">
        <v>2023</v>
      </c>
      <c r="I9668" t="s">
        <v>9783</v>
      </c>
    </row>
    <row r="9669" spans="1:9" x14ac:dyDescent="0.3">
      <c r="A9669" t="s">
        <v>10125</v>
      </c>
      <c r="B9669" t="s">
        <v>17</v>
      </c>
      <c r="C9669">
        <v>7648876604</v>
      </c>
      <c r="D9669" s="2">
        <v>1</v>
      </c>
      <c r="E9669" t="str">
        <f>"4574674200979631"</f>
        <v>4574674200979631</v>
      </c>
      <c r="F9669" t="str">
        <f>"495"</f>
        <v>495</v>
      </c>
      <c r="G9669">
        <v>1</v>
      </c>
      <c r="H9669">
        <v>2023</v>
      </c>
      <c r="I9669" t="s">
        <v>9784</v>
      </c>
    </row>
    <row r="9670" spans="1:9" x14ac:dyDescent="0.3">
      <c r="A9670" t="s">
        <v>10125</v>
      </c>
      <c r="B9670" t="s">
        <v>17</v>
      </c>
      <c r="C9670">
        <v>7648876604</v>
      </c>
      <c r="D9670" s="2">
        <v>1</v>
      </c>
      <c r="E9670" t="str">
        <f>"4574674200981421"</f>
        <v>4574674200981421</v>
      </c>
      <c r="F9670" t="str">
        <f>"282"</f>
        <v>282</v>
      </c>
      <c r="G9670">
        <v>1</v>
      </c>
      <c r="H9670">
        <v>2023</v>
      </c>
      <c r="I9670" t="s">
        <v>9785</v>
      </c>
    </row>
    <row r="9671" spans="1:9" x14ac:dyDescent="0.3">
      <c r="A9671" t="s">
        <v>10125</v>
      </c>
      <c r="B9671" t="s">
        <v>17</v>
      </c>
      <c r="C9671">
        <v>7648876604</v>
      </c>
      <c r="D9671" s="2">
        <v>1</v>
      </c>
      <c r="E9671" t="str">
        <f>"4574674200981439"</f>
        <v>4574674200981439</v>
      </c>
      <c r="F9671" t="str">
        <f>"473"</f>
        <v>473</v>
      </c>
      <c r="G9671">
        <v>1</v>
      </c>
      <c r="H9671">
        <v>2023</v>
      </c>
      <c r="I9671" t="s">
        <v>9786</v>
      </c>
    </row>
    <row r="9672" spans="1:9" x14ac:dyDescent="0.3">
      <c r="A9672" t="s">
        <v>10125</v>
      </c>
      <c r="B9672" t="s">
        <v>17</v>
      </c>
      <c r="C9672">
        <v>7648876604</v>
      </c>
      <c r="D9672" s="2">
        <v>1</v>
      </c>
      <c r="E9672" t="str">
        <f>"4574674200981447"</f>
        <v>4574674200981447</v>
      </c>
      <c r="F9672" t="str">
        <f>"478"</f>
        <v>478</v>
      </c>
      <c r="G9672">
        <v>1</v>
      </c>
      <c r="H9672">
        <v>2023</v>
      </c>
      <c r="I9672" t="s">
        <v>9787</v>
      </c>
    </row>
    <row r="9673" spans="1:9" x14ac:dyDescent="0.3">
      <c r="A9673" t="s">
        <v>10125</v>
      </c>
      <c r="B9673" t="s">
        <v>17</v>
      </c>
      <c r="C9673">
        <v>7648876604</v>
      </c>
      <c r="D9673" s="2">
        <v>1</v>
      </c>
      <c r="E9673" t="str">
        <f>"4574674200981116"</f>
        <v>4574674200981116</v>
      </c>
      <c r="F9673" t="str">
        <f>"953"</f>
        <v>953</v>
      </c>
      <c r="G9673">
        <v>1</v>
      </c>
      <c r="H9673">
        <v>2023</v>
      </c>
      <c r="I9673" t="s">
        <v>9788</v>
      </c>
    </row>
    <row r="9674" spans="1:9" x14ac:dyDescent="0.3">
      <c r="A9674" t="s">
        <v>10125</v>
      </c>
      <c r="B9674" t="s">
        <v>17</v>
      </c>
      <c r="C9674">
        <v>7648876604</v>
      </c>
      <c r="D9674" s="2">
        <v>1</v>
      </c>
      <c r="E9674" t="str">
        <f>"4574674200981520"</f>
        <v>4574674200981520</v>
      </c>
      <c r="F9674" t="str">
        <f>"819"</f>
        <v>819</v>
      </c>
      <c r="G9674">
        <v>1</v>
      </c>
      <c r="H9674">
        <v>2023</v>
      </c>
      <c r="I9674" t="s">
        <v>9789</v>
      </c>
    </row>
    <row r="9675" spans="1:9" x14ac:dyDescent="0.3">
      <c r="A9675" t="s">
        <v>10126</v>
      </c>
      <c r="B9675" t="s">
        <v>18</v>
      </c>
      <c r="C9675">
        <v>7648876604</v>
      </c>
      <c r="D9675" s="2">
        <v>1</v>
      </c>
      <c r="E9675" t="str">
        <f>"4574674200981538"</f>
        <v>4574674200981538</v>
      </c>
      <c r="F9675" t="str">
        <f>"569"</f>
        <v>569</v>
      </c>
      <c r="G9675">
        <v>1</v>
      </c>
      <c r="H9675">
        <v>2023</v>
      </c>
      <c r="I9675" t="s">
        <v>9790</v>
      </c>
    </row>
    <row r="9676" spans="1:9" x14ac:dyDescent="0.3">
      <c r="A9676" t="s">
        <v>10126</v>
      </c>
      <c r="B9676" t="s">
        <v>18</v>
      </c>
      <c r="C9676">
        <v>7648876604</v>
      </c>
      <c r="D9676" s="2">
        <v>1</v>
      </c>
      <c r="E9676" t="str">
        <f>"4574674200873727"</f>
        <v>4574674200873727</v>
      </c>
      <c r="F9676" t="str">
        <f>"947"</f>
        <v>947</v>
      </c>
      <c r="G9676">
        <v>1</v>
      </c>
      <c r="H9676">
        <v>2023</v>
      </c>
      <c r="I9676" t="s">
        <v>9791</v>
      </c>
    </row>
    <row r="9677" spans="1:9" x14ac:dyDescent="0.3">
      <c r="A9677" t="s">
        <v>10126</v>
      </c>
      <c r="B9677" t="s">
        <v>18</v>
      </c>
      <c r="C9677">
        <v>7648876604</v>
      </c>
      <c r="D9677" s="2">
        <v>1</v>
      </c>
      <c r="E9677" t="str">
        <f>"4574674200873792"</f>
        <v>4574674200873792</v>
      </c>
      <c r="F9677" t="str">
        <f>"883"</f>
        <v>883</v>
      </c>
      <c r="G9677">
        <v>1</v>
      </c>
      <c r="H9677">
        <v>2023</v>
      </c>
      <c r="I9677" t="s">
        <v>9792</v>
      </c>
    </row>
    <row r="9678" spans="1:9" x14ac:dyDescent="0.3">
      <c r="A9678" t="s">
        <v>10126</v>
      </c>
      <c r="B9678" t="s">
        <v>18</v>
      </c>
      <c r="C9678">
        <v>7648876604</v>
      </c>
      <c r="D9678" s="2">
        <v>1</v>
      </c>
      <c r="E9678" t="str">
        <f>"4574674200874634"</f>
        <v>4574674200874634</v>
      </c>
      <c r="F9678" t="str">
        <f>"894"</f>
        <v>894</v>
      </c>
      <c r="G9678">
        <v>1</v>
      </c>
      <c r="H9678">
        <v>2023</v>
      </c>
      <c r="I9678" t="s">
        <v>9793</v>
      </c>
    </row>
    <row r="9679" spans="1:9" x14ac:dyDescent="0.3">
      <c r="A9679" t="s">
        <v>10126</v>
      </c>
      <c r="B9679" t="s">
        <v>18</v>
      </c>
      <c r="C9679">
        <v>7648876604</v>
      </c>
      <c r="D9679" s="2">
        <v>1</v>
      </c>
      <c r="E9679" t="str">
        <f>"4574674200874600"</f>
        <v>4574674200874600</v>
      </c>
      <c r="F9679" t="str">
        <f>"893"</f>
        <v>893</v>
      </c>
      <c r="G9679">
        <v>1</v>
      </c>
      <c r="H9679">
        <v>2023</v>
      </c>
      <c r="I9679" t="s">
        <v>9794</v>
      </c>
    </row>
    <row r="9680" spans="1:9" x14ac:dyDescent="0.3">
      <c r="A9680" t="s">
        <v>10126</v>
      </c>
      <c r="B9680" t="s">
        <v>18</v>
      </c>
      <c r="C9680">
        <v>7648876604</v>
      </c>
      <c r="D9680" s="2">
        <v>1</v>
      </c>
      <c r="E9680" t="str">
        <f>"4574674200874410"</f>
        <v>4574674200874410</v>
      </c>
      <c r="F9680" t="str">
        <f>"683"</f>
        <v>683</v>
      </c>
      <c r="G9680">
        <v>1</v>
      </c>
      <c r="H9680">
        <v>2023</v>
      </c>
      <c r="I9680" t="s">
        <v>9795</v>
      </c>
    </row>
    <row r="9681" spans="1:9" x14ac:dyDescent="0.3">
      <c r="A9681" t="s">
        <v>10126</v>
      </c>
      <c r="B9681" t="s">
        <v>18</v>
      </c>
      <c r="C9681">
        <v>7648876604</v>
      </c>
      <c r="D9681" s="2">
        <v>1</v>
      </c>
      <c r="E9681" t="str">
        <f>"4574674200874659"</f>
        <v>4574674200874659</v>
      </c>
      <c r="F9681" t="str">
        <f>"418"</f>
        <v>418</v>
      </c>
      <c r="G9681">
        <v>1</v>
      </c>
      <c r="H9681">
        <v>2023</v>
      </c>
      <c r="I9681" t="s">
        <v>9796</v>
      </c>
    </row>
    <row r="9682" spans="1:9" x14ac:dyDescent="0.3">
      <c r="A9682" t="s">
        <v>10126</v>
      </c>
      <c r="B9682" t="s">
        <v>18</v>
      </c>
      <c r="C9682">
        <v>7648876604</v>
      </c>
      <c r="D9682" s="2">
        <v>1</v>
      </c>
      <c r="E9682" t="str">
        <f>"4574674200874626"</f>
        <v>4574674200874626</v>
      </c>
      <c r="F9682" t="str">
        <f>"029"</f>
        <v>029</v>
      </c>
      <c r="G9682">
        <v>1</v>
      </c>
      <c r="H9682">
        <v>2023</v>
      </c>
      <c r="I9682" t="s">
        <v>9797</v>
      </c>
    </row>
    <row r="9683" spans="1:9" x14ac:dyDescent="0.3">
      <c r="A9683" t="s">
        <v>10126</v>
      </c>
      <c r="B9683" t="s">
        <v>18</v>
      </c>
      <c r="C9683">
        <v>7648876604</v>
      </c>
      <c r="D9683" s="2">
        <v>1</v>
      </c>
      <c r="E9683" t="str">
        <f>"4574674200874618"</f>
        <v>4574674200874618</v>
      </c>
      <c r="F9683" t="str">
        <f>"481"</f>
        <v>481</v>
      </c>
      <c r="G9683">
        <v>1</v>
      </c>
      <c r="H9683">
        <v>2023</v>
      </c>
      <c r="I9683" t="s">
        <v>9798</v>
      </c>
    </row>
    <row r="9684" spans="1:9" x14ac:dyDescent="0.3">
      <c r="A9684" t="s">
        <v>10126</v>
      </c>
      <c r="B9684" t="s">
        <v>18</v>
      </c>
      <c r="C9684">
        <v>7648876604</v>
      </c>
      <c r="D9684" s="2">
        <v>1</v>
      </c>
      <c r="E9684" t="str">
        <f>"4574674200874576"</f>
        <v>4574674200874576</v>
      </c>
      <c r="F9684" t="str">
        <f>"586"</f>
        <v>586</v>
      </c>
      <c r="G9684">
        <v>1</v>
      </c>
      <c r="H9684">
        <v>2023</v>
      </c>
      <c r="I9684" t="s">
        <v>9799</v>
      </c>
    </row>
    <row r="9685" spans="1:9" x14ac:dyDescent="0.3">
      <c r="A9685" t="s">
        <v>10127</v>
      </c>
      <c r="B9685" t="s">
        <v>19</v>
      </c>
      <c r="C9685">
        <v>7648876604</v>
      </c>
      <c r="D9685" s="2">
        <v>1</v>
      </c>
      <c r="E9685" t="str">
        <f>"4574674200874725"</f>
        <v>4574674200874725</v>
      </c>
      <c r="F9685" t="str">
        <f>"356"</f>
        <v>356</v>
      </c>
      <c r="G9685">
        <v>1</v>
      </c>
      <c r="H9685">
        <v>2023</v>
      </c>
      <c r="I9685" t="s">
        <v>9800</v>
      </c>
    </row>
    <row r="9686" spans="1:9" x14ac:dyDescent="0.3">
      <c r="A9686" t="s">
        <v>10127</v>
      </c>
      <c r="B9686" t="s">
        <v>19</v>
      </c>
      <c r="C9686">
        <v>7648876604</v>
      </c>
      <c r="D9686" s="2">
        <v>1</v>
      </c>
      <c r="E9686" t="str">
        <f>"4574674200874717"</f>
        <v>4574674200874717</v>
      </c>
      <c r="F9686" t="str">
        <f>"385"</f>
        <v>385</v>
      </c>
      <c r="G9686">
        <v>1</v>
      </c>
      <c r="H9686">
        <v>2023</v>
      </c>
      <c r="I9686" t="s">
        <v>9801</v>
      </c>
    </row>
    <row r="9687" spans="1:9" x14ac:dyDescent="0.3">
      <c r="A9687" t="s">
        <v>10127</v>
      </c>
      <c r="B9687" t="s">
        <v>19</v>
      </c>
      <c r="C9687">
        <v>7648876604</v>
      </c>
      <c r="D9687" s="2">
        <v>1</v>
      </c>
      <c r="E9687" t="str">
        <f>"4574674200874741"</f>
        <v>4574674200874741</v>
      </c>
      <c r="F9687" t="str">
        <f>"810"</f>
        <v>810</v>
      </c>
      <c r="G9687">
        <v>1</v>
      </c>
      <c r="H9687">
        <v>2023</v>
      </c>
      <c r="I9687" t="s">
        <v>9802</v>
      </c>
    </row>
    <row r="9688" spans="1:9" x14ac:dyDescent="0.3">
      <c r="A9688" t="s">
        <v>10127</v>
      </c>
      <c r="B9688" t="s">
        <v>19</v>
      </c>
      <c r="C9688">
        <v>7648876604</v>
      </c>
      <c r="D9688" s="2">
        <v>1</v>
      </c>
      <c r="E9688" t="str">
        <f>"4574674200874758"</f>
        <v>4574674200874758</v>
      </c>
      <c r="F9688" t="str">
        <f>"461"</f>
        <v>461</v>
      </c>
      <c r="G9688">
        <v>1</v>
      </c>
      <c r="H9688">
        <v>2023</v>
      </c>
      <c r="I9688" t="s">
        <v>9803</v>
      </c>
    </row>
    <row r="9689" spans="1:9" x14ac:dyDescent="0.3">
      <c r="A9689" t="s">
        <v>10127</v>
      </c>
      <c r="B9689" t="s">
        <v>19</v>
      </c>
      <c r="C9689">
        <v>7648876604</v>
      </c>
      <c r="D9689" s="2">
        <v>1</v>
      </c>
      <c r="E9689" t="str">
        <f>"4574674200874774"</f>
        <v>4574674200874774</v>
      </c>
      <c r="F9689" t="str">
        <f>"098"</f>
        <v>098</v>
      </c>
      <c r="G9689">
        <v>1</v>
      </c>
      <c r="H9689">
        <v>2023</v>
      </c>
      <c r="I9689" t="s">
        <v>9804</v>
      </c>
    </row>
    <row r="9690" spans="1:9" x14ac:dyDescent="0.3">
      <c r="A9690" t="s">
        <v>10127</v>
      </c>
      <c r="B9690" t="s">
        <v>19</v>
      </c>
      <c r="C9690">
        <v>7648876604</v>
      </c>
      <c r="D9690" s="2">
        <v>1</v>
      </c>
      <c r="E9690" t="str">
        <f>"4574674200874766"</f>
        <v>4574674200874766</v>
      </c>
      <c r="F9690" t="str">
        <f>"142"</f>
        <v>142</v>
      </c>
      <c r="G9690">
        <v>1</v>
      </c>
      <c r="H9690">
        <v>2023</v>
      </c>
      <c r="I9690" t="s">
        <v>9805</v>
      </c>
    </row>
    <row r="9691" spans="1:9" x14ac:dyDescent="0.3">
      <c r="A9691" t="s">
        <v>10127</v>
      </c>
      <c r="B9691" t="s">
        <v>19</v>
      </c>
      <c r="C9691">
        <v>7648876604</v>
      </c>
      <c r="D9691" s="2">
        <v>1</v>
      </c>
      <c r="E9691" t="str">
        <f>"4574674200874931"</f>
        <v>4574674200874931</v>
      </c>
      <c r="F9691" t="str">
        <f>"704"</f>
        <v>704</v>
      </c>
      <c r="G9691">
        <v>1</v>
      </c>
      <c r="H9691">
        <v>2023</v>
      </c>
      <c r="I9691" t="s">
        <v>9806</v>
      </c>
    </row>
    <row r="9692" spans="1:9" x14ac:dyDescent="0.3">
      <c r="A9692" t="s">
        <v>10127</v>
      </c>
      <c r="B9692" t="s">
        <v>19</v>
      </c>
      <c r="C9692">
        <v>7648876604</v>
      </c>
      <c r="D9692" s="2">
        <v>1</v>
      </c>
      <c r="E9692" t="str">
        <f>"4574674200875037"</f>
        <v>4574674200875037</v>
      </c>
      <c r="F9692" t="str">
        <f>"691"</f>
        <v>691</v>
      </c>
      <c r="G9692">
        <v>1</v>
      </c>
      <c r="H9692">
        <v>2023</v>
      </c>
      <c r="I9692" t="s">
        <v>9807</v>
      </c>
    </row>
    <row r="9693" spans="1:9" x14ac:dyDescent="0.3">
      <c r="A9693" t="s">
        <v>10127</v>
      </c>
      <c r="B9693" t="s">
        <v>19</v>
      </c>
      <c r="C9693">
        <v>7648876604</v>
      </c>
      <c r="D9693" s="2">
        <v>1</v>
      </c>
      <c r="E9693" t="str">
        <f>"4574674200875268"</f>
        <v>4574674200875268</v>
      </c>
      <c r="F9693" t="str">
        <f>"705"</f>
        <v>705</v>
      </c>
      <c r="G9693">
        <v>1</v>
      </c>
      <c r="H9693">
        <v>2023</v>
      </c>
      <c r="I9693" t="s">
        <v>9808</v>
      </c>
    </row>
    <row r="9694" spans="1:9" x14ac:dyDescent="0.3">
      <c r="A9694" t="s">
        <v>10127</v>
      </c>
      <c r="B9694" t="s">
        <v>19</v>
      </c>
      <c r="C9694">
        <v>7648876604</v>
      </c>
      <c r="D9694" s="2">
        <v>1</v>
      </c>
      <c r="E9694" t="str">
        <f>"4574674200875052"</f>
        <v>4574674200875052</v>
      </c>
      <c r="F9694" t="str">
        <f>"889"</f>
        <v>889</v>
      </c>
      <c r="G9694">
        <v>1</v>
      </c>
      <c r="H9694">
        <v>2023</v>
      </c>
      <c r="I9694" t="s">
        <v>9809</v>
      </c>
    </row>
    <row r="9695" spans="1:9" x14ac:dyDescent="0.3">
      <c r="A9695" t="s">
        <v>10128</v>
      </c>
      <c r="B9695" t="s">
        <v>20</v>
      </c>
      <c r="C9695">
        <v>7648876604</v>
      </c>
      <c r="D9695" s="2">
        <v>1</v>
      </c>
      <c r="E9695" t="str">
        <f>"4574674200875086"</f>
        <v>4574674200875086</v>
      </c>
      <c r="F9695" t="str">
        <f>"995"</f>
        <v>995</v>
      </c>
      <c r="G9695">
        <v>1</v>
      </c>
      <c r="H9695">
        <v>2023</v>
      </c>
      <c r="I9695" t="s">
        <v>9810</v>
      </c>
    </row>
    <row r="9696" spans="1:9" x14ac:dyDescent="0.3">
      <c r="A9696" t="s">
        <v>10128</v>
      </c>
      <c r="B9696" t="s">
        <v>20</v>
      </c>
      <c r="C9696">
        <v>7648876604</v>
      </c>
      <c r="D9696" s="2">
        <v>1</v>
      </c>
      <c r="E9696" t="str">
        <f>"4574674200875078"</f>
        <v>4574674200875078</v>
      </c>
      <c r="F9696" t="str">
        <f>"051"</f>
        <v>051</v>
      </c>
      <c r="G9696">
        <v>1</v>
      </c>
      <c r="H9696">
        <v>2023</v>
      </c>
      <c r="I9696" t="s">
        <v>9811</v>
      </c>
    </row>
    <row r="9697" spans="1:9" x14ac:dyDescent="0.3">
      <c r="A9697" t="s">
        <v>10128</v>
      </c>
      <c r="B9697" t="s">
        <v>20</v>
      </c>
      <c r="C9697">
        <v>7648876604</v>
      </c>
      <c r="D9697" s="2">
        <v>1</v>
      </c>
      <c r="E9697" t="str">
        <f>"4574674200875060"</f>
        <v>4574674200875060</v>
      </c>
      <c r="F9697" t="str">
        <f>"163"</f>
        <v>163</v>
      </c>
      <c r="G9697">
        <v>1</v>
      </c>
      <c r="H9697">
        <v>2023</v>
      </c>
      <c r="I9697" t="s">
        <v>9812</v>
      </c>
    </row>
    <row r="9698" spans="1:9" x14ac:dyDescent="0.3">
      <c r="A9698" t="s">
        <v>10128</v>
      </c>
      <c r="B9698" t="s">
        <v>20</v>
      </c>
      <c r="C9698">
        <v>7648876604</v>
      </c>
      <c r="D9698" s="2">
        <v>1</v>
      </c>
      <c r="E9698" t="str">
        <f>"4574674200875094"</f>
        <v>4574674200875094</v>
      </c>
      <c r="F9698" t="str">
        <f>"665"</f>
        <v>665</v>
      </c>
      <c r="G9698">
        <v>1</v>
      </c>
      <c r="H9698">
        <v>2023</v>
      </c>
      <c r="I9698" t="s">
        <v>9813</v>
      </c>
    </row>
    <row r="9699" spans="1:9" x14ac:dyDescent="0.3">
      <c r="A9699" t="s">
        <v>10128</v>
      </c>
      <c r="B9699" t="s">
        <v>20</v>
      </c>
      <c r="C9699">
        <v>7648876604</v>
      </c>
      <c r="D9699" s="2">
        <v>1</v>
      </c>
      <c r="E9699" t="str">
        <f>"4574674200875144"</f>
        <v>4574674200875144</v>
      </c>
      <c r="F9699" t="str">
        <f>"204"</f>
        <v>204</v>
      </c>
      <c r="G9699">
        <v>1</v>
      </c>
      <c r="H9699">
        <v>2023</v>
      </c>
      <c r="I9699" t="s">
        <v>9814</v>
      </c>
    </row>
    <row r="9700" spans="1:9" x14ac:dyDescent="0.3">
      <c r="A9700" t="s">
        <v>10128</v>
      </c>
      <c r="B9700" t="s">
        <v>20</v>
      </c>
      <c r="C9700">
        <v>7648876604</v>
      </c>
      <c r="D9700" s="2">
        <v>1</v>
      </c>
      <c r="E9700" t="str">
        <f>"4574674200875490"</f>
        <v>4574674200875490</v>
      </c>
      <c r="F9700" t="str">
        <f>"973"</f>
        <v>973</v>
      </c>
      <c r="G9700">
        <v>1</v>
      </c>
      <c r="H9700">
        <v>2023</v>
      </c>
      <c r="I9700" t="s">
        <v>9815</v>
      </c>
    </row>
    <row r="9701" spans="1:9" x14ac:dyDescent="0.3">
      <c r="A9701" t="s">
        <v>10128</v>
      </c>
      <c r="B9701" t="s">
        <v>20</v>
      </c>
      <c r="C9701">
        <v>7648876604</v>
      </c>
      <c r="D9701" s="2">
        <v>1</v>
      </c>
      <c r="E9701" t="str">
        <f>"4574674200875177"</f>
        <v>4574674200875177</v>
      </c>
      <c r="F9701" t="str">
        <f>"572"</f>
        <v>572</v>
      </c>
      <c r="G9701">
        <v>1</v>
      </c>
      <c r="H9701">
        <v>2023</v>
      </c>
      <c r="I9701" t="s">
        <v>9816</v>
      </c>
    </row>
    <row r="9702" spans="1:9" x14ac:dyDescent="0.3">
      <c r="A9702" t="s">
        <v>10128</v>
      </c>
      <c r="B9702" t="s">
        <v>20</v>
      </c>
      <c r="C9702">
        <v>7648876604</v>
      </c>
      <c r="D9702" s="2">
        <v>1</v>
      </c>
      <c r="E9702" t="str">
        <f>"4574674200875185"</f>
        <v>4574674200875185</v>
      </c>
      <c r="F9702" t="str">
        <f>"404"</f>
        <v>404</v>
      </c>
      <c r="G9702">
        <v>1</v>
      </c>
      <c r="H9702">
        <v>2023</v>
      </c>
      <c r="I9702" t="s">
        <v>9817</v>
      </c>
    </row>
    <row r="9703" spans="1:9" x14ac:dyDescent="0.3">
      <c r="A9703" t="s">
        <v>10128</v>
      </c>
      <c r="B9703" t="s">
        <v>20</v>
      </c>
      <c r="C9703">
        <v>7648876604</v>
      </c>
      <c r="D9703" s="2">
        <v>1</v>
      </c>
      <c r="E9703" t="str">
        <f>"4574674200875193"</f>
        <v>4574674200875193</v>
      </c>
      <c r="F9703" t="str">
        <f>"610"</f>
        <v>610</v>
      </c>
      <c r="G9703">
        <v>1</v>
      </c>
      <c r="H9703">
        <v>2023</v>
      </c>
      <c r="I9703" t="s">
        <v>9818</v>
      </c>
    </row>
    <row r="9704" spans="1:9" x14ac:dyDescent="0.3">
      <c r="A9704" t="s">
        <v>10128</v>
      </c>
      <c r="B9704" t="s">
        <v>20</v>
      </c>
      <c r="C9704">
        <v>7648876604</v>
      </c>
      <c r="D9704" s="2">
        <v>1</v>
      </c>
      <c r="E9704" t="str">
        <f>"4574674200875607"</f>
        <v>4574674200875607</v>
      </c>
      <c r="F9704" t="str">
        <f>"537"</f>
        <v>537</v>
      </c>
      <c r="G9704">
        <v>1</v>
      </c>
      <c r="H9704">
        <v>2023</v>
      </c>
      <c r="I9704" t="s">
        <v>9819</v>
      </c>
    </row>
    <row r="9705" spans="1:9" x14ac:dyDescent="0.3">
      <c r="A9705" t="s">
        <v>10129</v>
      </c>
      <c r="B9705" t="s">
        <v>21</v>
      </c>
      <c r="C9705">
        <v>7648876604</v>
      </c>
      <c r="D9705" s="2">
        <v>1</v>
      </c>
      <c r="E9705" t="str">
        <f>"4574674200875615"</f>
        <v>4574674200875615</v>
      </c>
      <c r="F9705" t="str">
        <f>"239"</f>
        <v>239</v>
      </c>
      <c r="G9705">
        <v>1</v>
      </c>
      <c r="H9705">
        <v>2023</v>
      </c>
      <c r="I9705" t="s">
        <v>9820</v>
      </c>
    </row>
    <row r="9706" spans="1:9" x14ac:dyDescent="0.3">
      <c r="A9706" t="s">
        <v>10129</v>
      </c>
      <c r="B9706" t="s">
        <v>21</v>
      </c>
      <c r="C9706">
        <v>7648876604</v>
      </c>
      <c r="D9706" s="2">
        <v>1</v>
      </c>
      <c r="E9706" t="str">
        <f>"4574674200875854"</f>
        <v>4574674200875854</v>
      </c>
      <c r="F9706" t="str">
        <f>"098"</f>
        <v>098</v>
      </c>
      <c r="G9706">
        <v>1</v>
      </c>
      <c r="H9706">
        <v>2023</v>
      </c>
      <c r="I9706" t="s">
        <v>9821</v>
      </c>
    </row>
    <row r="9707" spans="1:9" x14ac:dyDescent="0.3">
      <c r="A9707" t="s">
        <v>10129</v>
      </c>
      <c r="B9707" t="s">
        <v>21</v>
      </c>
      <c r="C9707">
        <v>7648876604</v>
      </c>
      <c r="D9707" s="2">
        <v>1</v>
      </c>
      <c r="E9707" t="str">
        <f>"4574674200875664"</f>
        <v>4574674200875664</v>
      </c>
      <c r="F9707" t="str">
        <f>"995"</f>
        <v>995</v>
      </c>
      <c r="G9707">
        <v>1</v>
      </c>
      <c r="H9707">
        <v>2023</v>
      </c>
      <c r="I9707" t="s">
        <v>9822</v>
      </c>
    </row>
    <row r="9708" spans="1:9" x14ac:dyDescent="0.3">
      <c r="A9708" t="s">
        <v>10129</v>
      </c>
      <c r="B9708" t="s">
        <v>21</v>
      </c>
      <c r="C9708">
        <v>7648876604</v>
      </c>
      <c r="D9708" s="2">
        <v>1</v>
      </c>
      <c r="E9708" t="str">
        <f>"4574674200875680"</f>
        <v>4574674200875680</v>
      </c>
      <c r="F9708" t="str">
        <f>"089"</f>
        <v>089</v>
      </c>
      <c r="G9708">
        <v>1</v>
      </c>
      <c r="H9708">
        <v>2023</v>
      </c>
      <c r="I9708" t="s">
        <v>9823</v>
      </c>
    </row>
    <row r="9709" spans="1:9" x14ac:dyDescent="0.3">
      <c r="A9709" t="s">
        <v>10129</v>
      </c>
      <c r="B9709" t="s">
        <v>21</v>
      </c>
      <c r="C9709">
        <v>7648876604</v>
      </c>
      <c r="D9709" s="2">
        <v>1</v>
      </c>
      <c r="E9709" t="str">
        <f>"4574674200875706"</f>
        <v>4574674200875706</v>
      </c>
      <c r="F9709" t="str">
        <f>"507"</f>
        <v>507</v>
      </c>
      <c r="G9709">
        <v>1</v>
      </c>
      <c r="H9709">
        <v>2023</v>
      </c>
      <c r="I9709" t="s">
        <v>9824</v>
      </c>
    </row>
    <row r="9710" spans="1:9" x14ac:dyDescent="0.3">
      <c r="A9710" t="s">
        <v>10129</v>
      </c>
      <c r="B9710" t="s">
        <v>21</v>
      </c>
      <c r="C9710">
        <v>7648876604</v>
      </c>
      <c r="D9710" s="2">
        <v>1</v>
      </c>
      <c r="E9710" t="str">
        <f>"4574674200875714"</f>
        <v>4574674200875714</v>
      </c>
      <c r="F9710" t="str">
        <f>"193"</f>
        <v>193</v>
      </c>
      <c r="G9710">
        <v>1</v>
      </c>
      <c r="H9710">
        <v>2023</v>
      </c>
      <c r="I9710" t="s">
        <v>9825</v>
      </c>
    </row>
    <row r="9711" spans="1:9" x14ac:dyDescent="0.3">
      <c r="A9711" t="s">
        <v>10129</v>
      </c>
      <c r="B9711" t="s">
        <v>21</v>
      </c>
      <c r="C9711">
        <v>7648876604</v>
      </c>
      <c r="D9711" s="2">
        <v>1</v>
      </c>
      <c r="E9711" t="str">
        <f>"4574674200875722"</f>
        <v>4574674200875722</v>
      </c>
      <c r="F9711" t="str">
        <f>"999"</f>
        <v>999</v>
      </c>
      <c r="G9711">
        <v>1</v>
      </c>
      <c r="H9711">
        <v>2023</v>
      </c>
      <c r="I9711" t="s">
        <v>9826</v>
      </c>
    </row>
    <row r="9712" spans="1:9" x14ac:dyDescent="0.3">
      <c r="A9712" t="s">
        <v>10129</v>
      </c>
      <c r="B9712" t="s">
        <v>21</v>
      </c>
      <c r="C9712">
        <v>7648876604</v>
      </c>
      <c r="D9712" s="2">
        <v>1</v>
      </c>
      <c r="E9712" t="str">
        <f>"4574674200876001"</f>
        <v>4574674200876001</v>
      </c>
      <c r="F9712" t="str">
        <f>"303"</f>
        <v>303</v>
      </c>
      <c r="G9712">
        <v>1</v>
      </c>
      <c r="H9712">
        <v>2023</v>
      </c>
      <c r="I9712" t="s">
        <v>9827</v>
      </c>
    </row>
    <row r="9713" spans="1:9" x14ac:dyDescent="0.3">
      <c r="A9713" t="s">
        <v>10129</v>
      </c>
      <c r="B9713" t="s">
        <v>21</v>
      </c>
      <c r="C9713">
        <v>7648876604</v>
      </c>
      <c r="D9713" s="2">
        <v>1</v>
      </c>
      <c r="E9713" t="str">
        <f>"4574674200875730"</f>
        <v>4574674200875730</v>
      </c>
      <c r="F9713" t="str">
        <f>"404"</f>
        <v>404</v>
      </c>
      <c r="G9713">
        <v>1</v>
      </c>
      <c r="H9713">
        <v>2023</v>
      </c>
      <c r="I9713" t="s">
        <v>9828</v>
      </c>
    </row>
    <row r="9714" spans="1:9" x14ac:dyDescent="0.3">
      <c r="A9714" t="s">
        <v>10129</v>
      </c>
      <c r="B9714" t="s">
        <v>21</v>
      </c>
      <c r="C9714">
        <v>7648876604</v>
      </c>
      <c r="D9714" s="2">
        <v>1</v>
      </c>
      <c r="E9714" t="str">
        <f>"4574674200875789"</f>
        <v>4574674200875789</v>
      </c>
      <c r="F9714" t="str">
        <f>"178"</f>
        <v>178</v>
      </c>
      <c r="G9714">
        <v>1</v>
      </c>
      <c r="H9714">
        <v>2023</v>
      </c>
      <c r="I9714" t="s">
        <v>9829</v>
      </c>
    </row>
    <row r="9715" spans="1:9" x14ac:dyDescent="0.3">
      <c r="A9715" t="s">
        <v>10130</v>
      </c>
      <c r="B9715" t="s">
        <v>22</v>
      </c>
      <c r="C9715">
        <v>7648876604</v>
      </c>
      <c r="D9715" s="2">
        <v>1</v>
      </c>
      <c r="E9715" t="str">
        <f>"4574674200876167"</f>
        <v>4574674200876167</v>
      </c>
      <c r="F9715" t="str">
        <f>"185"</f>
        <v>185</v>
      </c>
      <c r="G9715">
        <v>1</v>
      </c>
      <c r="H9715">
        <v>2023</v>
      </c>
      <c r="I9715" t="s">
        <v>9830</v>
      </c>
    </row>
    <row r="9716" spans="1:9" x14ac:dyDescent="0.3">
      <c r="A9716" t="s">
        <v>10130</v>
      </c>
      <c r="B9716" t="s">
        <v>22</v>
      </c>
      <c r="C9716">
        <v>7648876604</v>
      </c>
      <c r="D9716" s="2">
        <v>1</v>
      </c>
      <c r="E9716" t="str">
        <f>"4574674200876217"</f>
        <v>4574674200876217</v>
      </c>
      <c r="F9716" t="str">
        <f>"095"</f>
        <v>095</v>
      </c>
      <c r="G9716">
        <v>1</v>
      </c>
      <c r="H9716">
        <v>2023</v>
      </c>
      <c r="I9716" t="s">
        <v>9831</v>
      </c>
    </row>
    <row r="9717" spans="1:9" x14ac:dyDescent="0.3">
      <c r="A9717" t="s">
        <v>10130</v>
      </c>
      <c r="B9717" t="s">
        <v>22</v>
      </c>
      <c r="C9717">
        <v>7648876604</v>
      </c>
      <c r="D9717" s="2">
        <v>1</v>
      </c>
      <c r="E9717" t="str">
        <f>"4574674200876209"</f>
        <v>4574674200876209</v>
      </c>
      <c r="F9717" t="str">
        <f>"455"</f>
        <v>455</v>
      </c>
      <c r="G9717">
        <v>1</v>
      </c>
      <c r="H9717">
        <v>2023</v>
      </c>
      <c r="I9717" t="s">
        <v>9832</v>
      </c>
    </row>
    <row r="9718" spans="1:9" x14ac:dyDescent="0.3">
      <c r="A9718" t="s">
        <v>10130</v>
      </c>
      <c r="B9718" t="s">
        <v>22</v>
      </c>
      <c r="C9718">
        <v>7648876604</v>
      </c>
      <c r="D9718" s="2">
        <v>1</v>
      </c>
      <c r="E9718" t="str">
        <f>"4574674200876233"</f>
        <v>4574674200876233</v>
      </c>
      <c r="F9718" t="str">
        <f>"858"</f>
        <v>858</v>
      </c>
      <c r="G9718">
        <v>1</v>
      </c>
      <c r="H9718">
        <v>2023</v>
      </c>
      <c r="I9718" t="s">
        <v>9833</v>
      </c>
    </row>
    <row r="9719" spans="1:9" x14ac:dyDescent="0.3">
      <c r="A9719" t="s">
        <v>10130</v>
      </c>
      <c r="B9719" t="s">
        <v>22</v>
      </c>
      <c r="C9719">
        <v>7648876604</v>
      </c>
      <c r="D9719" s="2">
        <v>1</v>
      </c>
      <c r="E9719" t="str">
        <f>"4574674200876241"</f>
        <v>4574674200876241</v>
      </c>
      <c r="F9719" t="str">
        <f>"972"</f>
        <v>972</v>
      </c>
      <c r="G9719">
        <v>1</v>
      </c>
      <c r="H9719">
        <v>2023</v>
      </c>
      <c r="I9719" t="s">
        <v>9834</v>
      </c>
    </row>
    <row r="9720" spans="1:9" x14ac:dyDescent="0.3">
      <c r="A9720" t="s">
        <v>10130</v>
      </c>
      <c r="B9720" t="s">
        <v>22</v>
      </c>
      <c r="C9720">
        <v>7648876604</v>
      </c>
      <c r="D9720" s="2">
        <v>1</v>
      </c>
      <c r="E9720" t="str">
        <f>"4574674200876258"</f>
        <v>4574674200876258</v>
      </c>
      <c r="F9720" t="str">
        <f>"612"</f>
        <v>612</v>
      </c>
      <c r="G9720">
        <v>1</v>
      </c>
      <c r="H9720">
        <v>2023</v>
      </c>
      <c r="I9720" t="s">
        <v>9835</v>
      </c>
    </row>
    <row r="9721" spans="1:9" x14ac:dyDescent="0.3">
      <c r="A9721" t="s">
        <v>10130</v>
      </c>
      <c r="B9721" t="s">
        <v>22</v>
      </c>
      <c r="C9721">
        <v>7648876604</v>
      </c>
      <c r="D9721" s="2">
        <v>1</v>
      </c>
      <c r="E9721" t="str">
        <f>"4574674200876290"</f>
        <v>4574674200876290</v>
      </c>
      <c r="F9721" t="str">
        <f>"622"</f>
        <v>622</v>
      </c>
      <c r="G9721">
        <v>1</v>
      </c>
      <c r="H9721">
        <v>2023</v>
      </c>
      <c r="I9721" t="s">
        <v>9836</v>
      </c>
    </row>
    <row r="9722" spans="1:9" x14ac:dyDescent="0.3">
      <c r="A9722" t="s">
        <v>10130</v>
      </c>
      <c r="B9722" t="s">
        <v>22</v>
      </c>
      <c r="C9722">
        <v>7648876604</v>
      </c>
      <c r="D9722" s="2">
        <v>1</v>
      </c>
      <c r="E9722" t="str">
        <f>"4574674200876522"</f>
        <v>4574674200876522</v>
      </c>
      <c r="F9722" t="str">
        <f>"574"</f>
        <v>574</v>
      </c>
      <c r="G9722">
        <v>1</v>
      </c>
      <c r="H9722">
        <v>2023</v>
      </c>
      <c r="I9722" t="s">
        <v>9837</v>
      </c>
    </row>
    <row r="9723" spans="1:9" x14ac:dyDescent="0.3">
      <c r="A9723" t="s">
        <v>10130</v>
      </c>
      <c r="B9723" t="s">
        <v>22</v>
      </c>
      <c r="C9723">
        <v>7648876604</v>
      </c>
      <c r="D9723" s="2">
        <v>1</v>
      </c>
      <c r="E9723" t="str">
        <f>"4574674200876332"</f>
        <v>4574674200876332</v>
      </c>
      <c r="F9723" t="str">
        <f>"817"</f>
        <v>817</v>
      </c>
      <c r="G9723">
        <v>1</v>
      </c>
      <c r="H9723">
        <v>2023</v>
      </c>
      <c r="I9723" t="s">
        <v>9838</v>
      </c>
    </row>
    <row r="9724" spans="1:9" x14ac:dyDescent="0.3">
      <c r="A9724" t="s">
        <v>10130</v>
      </c>
      <c r="B9724" t="s">
        <v>22</v>
      </c>
      <c r="C9724">
        <v>7648876604</v>
      </c>
      <c r="D9724" s="2">
        <v>1</v>
      </c>
      <c r="E9724" t="str">
        <f>"4574674200876340"</f>
        <v>4574674200876340</v>
      </c>
      <c r="F9724" t="str">
        <f>"763"</f>
        <v>763</v>
      </c>
      <c r="G9724">
        <v>1</v>
      </c>
      <c r="H9724">
        <v>2023</v>
      </c>
      <c r="I9724" t="s">
        <v>9839</v>
      </c>
    </row>
    <row r="9725" spans="1:9" x14ac:dyDescent="0.3">
      <c r="A9725" t="s">
        <v>10131</v>
      </c>
      <c r="B9725" t="s">
        <v>23</v>
      </c>
      <c r="C9725">
        <v>7648876604</v>
      </c>
      <c r="D9725" s="2">
        <v>1</v>
      </c>
      <c r="E9725" t="str">
        <f>"4574674200876357"</f>
        <v>4574674200876357</v>
      </c>
      <c r="F9725" t="str">
        <f>"553"</f>
        <v>553</v>
      </c>
      <c r="G9725">
        <v>1</v>
      </c>
      <c r="H9725">
        <v>2023</v>
      </c>
      <c r="I9725" t="s">
        <v>9840</v>
      </c>
    </row>
    <row r="9726" spans="1:9" x14ac:dyDescent="0.3">
      <c r="A9726" t="s">
        <v>10131</v>
      </c>
      <c r="B9726" t="s">
        <v>23</v>
      </c>
      <c r="C9726">
        <v>7648876604</v>
      </c>
      <c r="D9726" s="2">
        <v>1</v>
      </c>
      <c r="E9726" t="str">
        <f>"4574674200876365"</f>
        <v>4574674200876365</v>
      </c>
      <c r="F9726" t="str">
        <f>"177"</f>
        <v>177</v>
      </c>
      <c r="G9726">
        <v>1</v>
      </c>
      <c r="H9726">
        <v>2023</v>
      </c>
      <c r="I9726" t="s">
        <v>9841</v>
      </c>
    </row>
    <row r="9727" spans="1:9" x14ac:dyDescent="0.3">
      <c r="A9727" t="s">
        <v>10131</v>
      </c>
      <c r="B9727" t="s">
        <v>23</v>
      </c>
      <c r="C9727">
        <v>7648876604</v>
      </c>
      <c r="D9727" s="2">
        <v>1</v>
      </c>
      <c r="E9727" t="str">
        <f>"4574674200876803"</f>
        <v>4574674200876803</v>
      </c>
      <c r="F9727" t="str">
        <f>"389"</f>
        <v>389</v>
      </c>
      <c r="G9727">
        <v>1</v>
      </c>
      <c r="H9727">
        <v>2023</v>
      </c>
      <c r="I9727" t="s">
        <v>9842</v>
      </c>
    </row>
    <row r="9728" spans="1:9" x14ac:dyDescent="0.3">
      <c r="A9728" t="s">
        <v>10131</v>
      </c>
      <c r="B9728" t="s">
        <v>23</v>
      </c>
      <c r="C9728">
        <v>7648876604</v>
      </c>
      <c r="D9728" s="2">
        <v>1</v>
      </c>
      <c r="E9728" t="str">
        <f>"4574674200876670"</f>
        <v>4574674200876670</v>
      </c>
      <c r="F9728" t="str">
        <f>"699"</f>
        <v>699</v>
      </c>
      <c r="G9728">
        <v>1</v>
      </c>
      <c r="H9728">
        <v>2023</v>
      </c>
      <c r="I9728" t="s">
        <v>9843</v>
      </c>
    </row>
    <row r="9729" spans="1:9" x14ac:dyDescent="0.3">
      <c r="A9729" t="s">
        <v>10131</v>
      </c>
      <c r="B9729" t="s">
        <v>23</v>
      </c>
      <c r="C9729">
        <v>7648876604</v>
      </c>
      <c r="D9729" s="2">
        <v>1</v>
      </c>
      <c r="E9729" t="str">
        <f>"4574674200876811"</f>
        <v>4574674200876811</v>
      </c>
      <c r="F9729" t="str">
        <f>"692"</f>
        <v>692</v>
      </c>
      <c r="G9729">
        <v>1</v>
      </c>
      <c r="H9729">
        <v>2023</v>
      </c>
      <c r="I9729" t="s">
        <v>9844</v>
      </c>
    </row>
    <row r="9730" spans="1:9" x14ac:dyDescent="0.3">
      <c r="A9730" t="s">
        <v>10131</v>
      </c>
      <c r="B9730" t="s">
        <v>23</v>
      </c>
      <c r="C9730">
        <v>7648876604</v>
      </c>
      <c r="D9730" s="2">
        <v>1</v>
      </c>
      <c r="E9730" t="str">
        <f>"4574674200876845"</f>
        <v>4574674200876845</v>
      </c>
      <c r="F9730" t="str">
        <f>"384"</f>
        <v>384</v>
      </c>
      <c r="G9730">
        <v>1</v>
      </c>
      <c r="H9730">
        <v>2023</v>
      </c>
      <c r="I9730" t="s">
        <v>9845</v>
      </c>
    </row>
    <row r="9731" spans="1:9" x14ac:dyDescent="0.3">
      <c r="A9731" t="s">
        <v>10131</v>
      </c>
      <c r="B9731" t="s">
        <v>23</v>
      </c>
      <c r="C9731">
        <v>7648876604</v>
      </c>
      <c r="D9731" s="2">
        <v>1</v>
      </c>
      <c r="E9731" t="str">
        <f>"4574674200876852"</f>
        <v>4574674200876852</v>
      </c>
      <c r="F9731" t="str">
        <f>"271"</f>
        <v>271</v>
      </c>
      <c r="G9731">
        <v>1</v>
      </c>
      <c r="H9731">
        <v>2023</v>
      </c>
      <c r="I9731" t="s">
        <v>9846</v>
      </c>
    </row>
    <row r="9732" spans="1:9" x14ac:dyDescent="0.3">
      <c r="A9732" t="s">
        <v>10131</v>
      </c>
      <c r="B9732" t="s">
        <v>23</v>
      </c>
      <c r="C9732">
        <v>7648876604</v>
      </c>
      <c r="D9732" s="2">
        <v>1</v>
      </c>
      <c r="E9732" t="str">
        <f>"4574674200876860"</f>
        <v>4574674200876860</v>
      </c>
      <c r="F9732" t="str">
        <f>"382"</f>
        <v>382</v>
      </c>
      <c r="G9732">
        <v>1</v>
      </c>
      <c r="H9732">
        <v>2023</v>
      </c>
      <c r="I9732" t="s">
        <v>9847</v>
      </c>
    </row>
    <row r="9733" spans="1:9" x14ac:dyDescent="0.3">
      <c r="A9733" t="s">
        <v>10131</v>
      </c>
      <c r="B9733" t="s">
        <v>23</v>
      </c>
      <c r="C9733">
        <v>7648876604</v>
      </c>
      <c r="D9733" s="2">
        <v>1</v>
      </c>
      <c r="E9733" t="str">
        <f>"4574674200876878"</f>
        <v>4574674200876878</v>
      </c>
      <c r="F9733" t="str">
        <f>"484"</f>
        <v>484</v>
      </c>
      <c r="G9733">
        <v>1</v>
      </c>
      <c r="H9733">
        <v>2023</v>
      </c>
      <c r="I9733" t="s">
        <v>9848</v>
      </c>
    </row>
    <row r="9734" spans="1:9" x14ac:dyDescent="0.3">
      <c r="A9734" t="s">
        <v>10131</v>
      </c>
      <c r="B9734" t="s">
        <v>23</v>
      </c>
      <c r="C9734">
        <v>7648876604</v>
      </c>
      <c r="D9734" s="2">
        <v>1</v>
      </c>
      <c r="E9734" t="str">
        <f>"4574674200876936"</f>
        <v>4574674200876936</v>
      </c>
      <c r="F9734" t="str">
        <f>"459"</f>
        <v>459</v>
      </c>
      <c r="G9734">
        <v>1</v>
      </c>
      <c r="H9734">
        <v>2023</v>
      </c>
      <c r="I9734" t="s">
        <v>9849</v>
      </c>
    </row>
    <row r="9735" spans="1:9" x14ac:dyDescent="0.3">
      <c r="A9735" t="s">
        <v>10132</v>
      </c>
      <c r="B9735" t="s">
        <v>24</v>
      </c>
      <c r="C9735">
        <v>7648876604</v>
      </c>
      <c r="D9735" s="2">
        <v>1</v>
      </c>
      <c r="E9735" t="str">
        <f>"4574674200877033"</f>
        <v>4574674200877033</v>
      </c>
      <c r="F9735" t="str">
        <f>"172"</f>
        <v>172</v>
      </c>
      <c r="G9735">
        <v>1</v>
      </c>
      <c r="H9735">
        <v>2023</v>
      </c>
      <c r="I9735" t="s">
        <v>9850</v>
      </c>
    </row>
    <row r="9736" spans="1:9" x14ac:dyDescent="0.3">
      <c r="A9736" t="s">
        <v>10132</v>
      </c>
      <c r="B9736" t="s">
        <v>24</v>
      </c>
      <c r="C9736">
        <v>7648876604</v>
      </c>
      <c r="D9736" s="2">
        <v>1</v>
      </c>
      <c r="E9736" t="str">
        <f>"4574674200876944"</f>
        <v>4574674200876944</v>
      </c>
      <c r="F9736" t="str">
        <f>"375"</f>
        <v>375</v>
      </c>
      <c r="G9736">
        <v>1</v>
      </c>
      <c r="H9736">
        <v>2023</v>
      </c>
      <c r="I9736" t="s">
        <v>9851</v>
      </c>
    </row>
    <row r="9737" spans="1:9" x14ac:dyDescent="0.3">
      <c r="A9737" t="s">
        <v>10132</v>
      </c>
      <c r="B9737" t="s">
        <v>24</v>
      </c>
      <c r="C9737">
        <v>7648876604</v>
      </c>
      <c r="D9737" s="2">
        <v>1</v>
      </c>
      <c r="E9737" t="str">
        <f>"4574674200876951"</f>
        <v>4574674200876951</v>
      </c>
      <c r="F9737" t="str">
        <f>"979"</f>
        <v>979</v>
      </c>
      <c r="G9737">
        <v>1</v>
      </c>
      <c r="H9737">
        <v>2023</v>
      </c>
      <c r="I9737" t="s">
        <v>9852</v>
      </c>
    </row>
    <row r="9738" spans="1:9" x14ac:dyDescent="0.3">
      <c r="A9738" t="s">
        <v>10132</v>
      </c>
      <c r="B9738" t="s">
        <v>24</v>
      </c>
      <c r="C9738">
        <v>7648876604</v>
      </c>
      <c r="D9738" s="2">
        <v>1</v>
      </c>
      <c r="E9738" t="str">
        <f>"4574674200876985"</f>
        <v>4574674200876985</v>
      </c>
      <c r="F9738" t="str">
        <f>"336"</f>
        <v>336</v>
      </c>
      <c r="G9738">
        <v>1</v>
      </c>
      <c r="H9738">
        <v>2023</v>
      </c>
      <c r="I9738" t="s">
        <v>9853</v>
      </c>
    </row>
    <row r="9739" spans="1:9" x14ac:dyDescent="0.3">
      <c r="A9739" t="s">
        <v>10132</v>
      </c>
      <c r="B9739" t="s">
        <v>24</v>
      </c>
      <c r="C9739">
        <v>7648876604</v>
      </c>
      <c r="D9739" s="2">
        <v>1</v>
      </c>
      <c r="E9739" t="str">
        <f>"4574674200876993"</f>
        <v>4574674200876993</v>
      </c>
      <c r="F9739" t="str">
        <f>"667"</f>
        <v>667</v>
      </c>
      <c r="G9739">
        <v>1</v>
      </c>
      <c r="H9739">
        <v>2023</v>
      </c>
      <c r="I9739" t="s">
        <v>9854</v>
      </c>
    </row>
    <row r="9740" spans="1:9" x14ac:dyDescent="0.3">
      <c r="A9740" t="s">
        <v>10132</v>
      </c>
      <c r="B9740" t="s">
        <v>24</v>
      </c>
      <c r="C9740">
        <v>7648876604</v>
      </c>
      <c r="D9740" s="2">
        <v>1</v>
      </c>
      <c r="E9740" t="str">
        <f>"4574674200877439"</f>
        <v>4574674200877439</v>
      </c>
      <c r="F9740" t="str">
        <f>"247"</f>
        <v>247</v>
      </c>
      <c r="G9740">
        <v>1</v>
      </c>
      <c r="H9740">
        <v>2023</v>
      </c>
      <c r="I9740" t="s">
        <v>9855</v>
      </c>
    </row>
    <row r="9741" spans="1:9" x14ac:dyDescent="0.3">
      <c r="A9741" t="s">
        <v>10132</v>
      </c>
      <c r="B9741" t="s">
        <v>24</v>
      </c>
      <c r="C9741">
        <v>7648876604</v>
      </c>
      <c r="D9741" s="2">
        <v>1</v>
      </c>
      <c r="E9741" t="str">
        <f>"4574674200877256"</f>
        <v>4574674200877256</v>
      </c>
      <c r="F9741" t="str">
        <f>"703"</f>
        <v>703</v>
      </c>
      <c r="G9741">
        <v>1</v>
      </c>
      <c r="H9741">
        <v>2023</v>
      </c>
      <c r="I9741" t="s">
        <v>9856</v>
      </c>
    </row>
    <row r="9742" spans="1:9" x14ac:dyDescent="0.3">
      <c r="A9742" t="s">
        <v>10132</v>
      </c>
      <c r="B9742" t="s">
        <v>24</v>
      </c>
      <c r="C9742">
        <v>7648876604</v>
      </c>
      <c r="D9742" s="2">
        <v>1</v>
      </c>
      <c r="E9742" t="str">
        <f>"4574674200877280"</f>
        <v>4574674200877280</v>
      </c>
      <c r="F9742" t="str">
        <f>"761"</f>
        <v>761</v>
      </c>
      <c r="G9742">
        <v>1</v>
      </c>
      <c r="H9742">
        <v>2023</v>
      </c>
      <c r="I9742" t="s">
        <v>9857</v>
      </c>
    </row>
    <row r="9743" spans="1:9" x14ac:dyDescent="0.3">
      <c r="A9743" t="s">
        <v>10132</v>
      </c>
      <c r="B9743" t="s">
        <v>24</v>
      </c>
      <c r="C9743">
        <v>7648876604</v>
      </c>
      <c r="D9743" s="2">
        <v>1</v>
      </c>
      <c r="E9743" t="str">
        <f>"4574674200877264"</f>
        <v>4574674200877264</v>
      </c>
      <c r="F9743" t="str">
        <f>"018"</f>
        <v>018</v>
      </c>
      <c r="G9743">
        <v>1</v>
      </c>
      <c r="H9743">
        <v>2023</v>
      </c>
      <c r="I9743" t="s">
        <v>9858</v>
      </c>
    </row>
    <row r="9744" spans="1:9" x14ac:dyDescent="0.3">
      <c r="A9744" t="s">
        <v>10132</v>
      </c>
      <c r="B9744" t="s">
        <v>24</v>
      </c>
      <c r="C9744">
        <v>7648876604</v>
      </c>
      <c r="D9744" s="2">
        <v>1</v>
      </c>
      <c r="E9744" t="str">
        <f>"4574674200877272"</f>
        <v>4574674200877272</v>
      </c>
      <c r="F9744" t="str">
        <f>"163"</f>
        <v>163</v>
      </c>
      <c r="G9744">
        <v>1</v>
      </c>
      <c r="H9744">
        <v>2023</v>
      </c>
      <c r="I9744" t="s">
        <v>9859</v>
      </c>
    </row>
    <row r="9745" spans="1:9" x14ac:dyDescent="0.3">
      <c r="A9745" t="s">
        <v>10133</v>
      </c>
      <c r="B9745" t="s">
        <v>25</v>
      </c>
      <c r="C9745">
        <v>7648876604</v>
      </c>
      <c r="D9745" s="2">
        <v>1</v>
      </c>
      <c r="E9745" t="str">
        <f>"4574674200877314"</f>
        <v>4574674200877314</v>
      </c>
      <c r="F9745" t="str">
        <f>"743"</f>
        <v>743</v>
      </c>
      <c r="G9745">
        <v>1</v>
      </c>
      <c r="H9745">
        <v>2023</v>
      </c>
      <c r="I9745" t="s">
        <v>9860</v>
      </c>
    </row>
    <row r="9746" spans="1:9" x14ac:dyDescent="0.3">
      <c r="A9746" t="s">
        <v>10133</v>
      </c>
      <c r="B9746" t="s">
        <v>25</v>
      </c>
      <c r="C9746">
        <v>7648876604</v>
      </c>
      <c r="D9746" s="2">
        <v>1</v>
      </c>
      <c r="E9746" t="str">
        <f>"4574674200877603"</f>
        <v>4574674200877603</v>
      </c>
      <c r="F9746" t="str">
        <f>"008"</f>
        <v>008</v>
      </c>
      <c r="G9746">
        <v>1</v>
      </c>
      <c r="H9746">
        <v>2023</v>
      </c>
      <c r="I9746" t="s">
        <v>9861</v>
      </c>
    </row>
    <row r="9747" spans="1:9" x14ac:dyDescent="0.3">
      <c r="A9747" t="s">
        <v>10133</v>
      </c>
      <c r="B9747" t="s">
        <v>25</v>
      </c>
      <c r="C9747">
        <v>7648876604</v>
      </c>
      <c r="D9747" s="2">
        <v>1</v>
      </c>
      <c r="E9747" t="str">
        <f>"4574674200877355"</f>
        <v>4574674200877355</v>
      </c>
      <c r="F9747" t="str">
        <f>"212"</f>
        <v>212</v>
      </c>
      <c r="G9747">
        <v>1</v>
      </c>
      <c r="H9747">
        <v>2023</v>
      </c>
      <c r="I9747" t="s">
        <v>9862</v>
      </c>
    </row>
    <row r="9748" spans="1:9" x14ac:dyDescent="0.3">
      <c r="A9748" t="s">
        <v>10133</v>
      </c>
      <c r="B9748" t="s">
        <v>25</v>
      </c>
      <c r="C9748">
        <v>7648876604</v>
      </c>
      <c r="D9748" s="2">
        <v>1</v>
      </c>
      <c r="E9748" t="str">
        <f>"4574674200877397"</f>
        <v>4574674200877397</v>
      </c>
      <c r="F9748" t="str">
        <f>"486"</f>
        <v>486</v>
      </c>
      <c r="G9748">
        <v>1</v>
      </c>
      <c r="H9748">
        <v>2023</v>
      </c>
      <c r="I9748" t="s">
        <v>9863</v>
      </c>
    </row>
    <row r="9749" spans="1:9" x14ac:dyDescent="0.3">
      <c r="A9749" t="s">
        <v>10133</v>
      </c>
      <c r="B9749" t="s">
        <v>25</v>
      </c>
      <c r="C9749">
        <v>7648876604</v>
      </c>
      <c r="D9749" s="2">
        <v>1</v>
      </c>
      <c r="E9749" t="str">
        <f>"4574674200877363"</f>
        <v>4574674200877363</v>
      </c>
      <c r="F9749" t="str">
        <f>"920"</f>
        <v>920</v>
      </c>
      <c r="G9749">
        <v>1</v>
      </c>
      <c r="H9749">
        <v>2023</v>
      </c>
      <c r="I9749" t="s">
        <v>9864</v>
      </c>
    </row>
    <row r="9750" spans="1:9" x14ac:dyDescent="0.3">
      <c r="A9750" t="s">
        <v>10133</v>
      </c>
      <c r="B9750" t="s">
        <v>25</v>
      </c>
      <c r="C9750">
        <v>7648876604</v>
      </c>
      <c r="D9750" s="2">
        <v>1</v>
      </c>
      <c r="E9750" t="str">
        <f>"4574674200877801"</f>
        <v>4574674200877801</v>
      </c>
      <c r="F9750" t="str">
        <f>"286"</f>
        <v>286</v>
      </c>
      <c r="G9750">
        <v>1</v>
      </c>
      <c r="H9750">
        <v>2023</v>
      </c>
      <c r="I9750" t="s">
        <v>9865</v>
      </c>
    </row>
    <row r="9751" spans="1:9" x14ac:dyDescent="0.3">
      <c r="A9751" t="s">
        <v>10133</v>
      </c>
      <c r="B9751" t="s">
        <v>25</v>
      </c>
      <c r="C9751">
        <v>7648876604</v>
      </c>
      <c r="D9751" s="2">
        <v>1</v>
      </c>
      <c r="E9751" t="str">
        <f>"4574674200877777"</f>
        <v>4574674200877777</v>
      </c>
      <c r="F9751" t="str">
        <f>"357"</f>
        <v>357</v>
      </c>
      <c r="G9751">
        <v>1</v>
      </c>
      <c r="H9751">
        <v>2023</v>
      </c>
      <c r="I9751" t="s">
        <v>9866</v>
      </c>
    </row>
    <row r="9752" spans="1:9" x14ac:dyDescent="0.3">
      <c r="A9752" t="s">
        <v>10133</v>
      </c>
      <c r="B9752" t="s">
        <v>25</v>
      </c>
      <c r="C9752">
        <v>7648876604</v>
      </c>
      <c r="D9752" s="2">
        <v>1</v>
      </c>
      <c r="E9752" t="str">
        <f>"4574674200877835"</f>
        <v>4574674200877835</v>
      </c>
      <c r="F9752" t="str">
        <f>"304"</f>
        <v>304</v>
      </c>
      <c r="G9752">
        <v>1</v>
      </c>
      <c r="H9752">
        <v>2023</v>
      </c>
      <c r="I9752" t="s">
        <v>9867</v>
      </c>
    </row>
    <row r="9753" spans="1:9" x14ac:dyDescent="0.3">
      <c r="A9753" t="s">
        <v>10133</v>
      </c>
      <c r="B9753" t="s">
        <v>25</v>
      </c>
      <c r="C9753">
        <v>7648876604</v>
      </c>
      <c r="D9753" s="2">
        <v>1</v>
      </c>
      <c r="E9753" t="str">
        <f>"4574674200877827"</f>
        <v>4574674200877827</v>
      </c>
      <c r="F9753" t="str">
        <f>"986"</f>
        <v>986</v>
      </c>
      <c r="G9753">
        <v>1</v>
      </c>
      <c r="H9753">
        <v>2023</v>
      </c>
      <c r="I9753" t="s">
        <v>9868</v>
      </c>
    </row>
    <row r="9754" spans="1:9" x14ac:dyDescent="0.3">
      <c r="A9754" t="s">
        <v>10133</v>
      </c>
      <c r="B9754" t="s">
        <v>25</v>
      </c>
      <c r="C9754">
        <v>7648876604</v>
      </c>
      <c r="D9754" s="2">
        <v>1</v>
      </c>
      <c r="E9754" t="str">
        <f>"4574674200878171"</f>
        <v>4574674200878171</v>
      </c>
      <c r="F9754" t="str">
        <f>"952"</f>
        <v>952</v>
      </c>
      <c r="G9754">
        <v>1</v>
      </c>
      <c r="H9754">
        <v>2023</v>
      </c>
      <c r="I9754" t="s">
        <v>9869</v>
      </c>
    </row>
    <row r="9755" spans="1:9" x14ac:dyDescent="0.3">
      <c r="A9755" t="s">
        <v>10134</v>
      </c>
      <c r="B9755" t="s">
        <v>26</v>
      </c>
      <c r="C9755">
        <v>7648876604</v>
      </c>
      <c r="D9755" s="2">
        <v>1</v>
      </c>
      <c r="E9755" t="str">
        <f>"4574674200877868"</f>
        <v>4574674200877868</v>
      </c>
      <c r="F9755" t="str">
        <f>"231"</f>
        <v>231</v>
      </c>
      <c r="G9755">
        <v>1</v>
      </c>
      <c r="H9755">
        <v>2023</v>
      </c>
      <c r="I9755" t="s">
        <v>9870</v>
      </c>
    </row>
    <row r="9756" spans="1:9" x14ac:dyDescent="0.3">
      <c r="A9756" t="s">
        <v>10134</v>
      </c>
      <c r="B9756" t="s">
        <v>26</v>
      </c>
      <c r="C9756">
        <v>7648876604</v>
      </c>
      <c r="D9756" s="2">
        <v>1</v>
      </c>
      <c r="E9756" t="str">
        <f>"4574674200877892"</f>
        <v>4574674200877892</v>
      </c>
      <c r="F9756" t="str">
        <f>"637"</f>
        <v>637</v>
      </c>
      <c r="G9756">
        <v>1</v>
      </c>
      <c r="H9756">
        <v>2023</v>
      </c>
      <c r="I9756" t="s">
        <v>9871</v>
      </c>
    </row>
    <row r="9757" spans="1:9" x14ac:dyDescent="0.3">
      <c r="A9757" t="s">
        <v>10134</v>
      </c>
      <c r="B9757" t="s">
        <v>26</v>
      </c>
      <c r="C9757">
        <v>7648876604</v>
      </c>
      <c r="D9757" s="2">
        <v>1</v>
      </c>
      <c r="E9757" t="str">
        <f>"4574674200877934"</f>
        <v>4574674200877934</v>
      </c>
      <c r="F9757" t="str">
        <f>"800"</f>
        <v>800</v>
      </c>
      <c r="G9757">
        <v>1</v>
      </c>
      <c r="H9757">
        <v>2023</v>
      </c>
      <c r="I9757" t="s">
        <v>9872</v>
      </c>
    </row>
    <row r="9758" spans="1:9" x14ac:dyDescent="0.3">
      <c r="A9758" t="s">
        <v>10134</v>
      </c>
      <c r="B9758" t="s">
        <v>26</v>
      </c>
      <c r="C9758">
        <v>7648876604</v>
      </c>
      <c r="D9758" s="2">
        <v>1</v>
      </c>
      <c r="E9758" t="str">
        <f>"4574674200877918"</f>
        <v>4574674200877918</v>
      </c>
      <c r="F9758" t="str">
        <f>"783"</f>
        <v>783</v>
      </c>
      <c r="G9758">
        <v>1</v>
      </c>
      <c r="H9758">
        <v>2023</v>
      </c>
      <c r="I9758" t="s">
        <v>9873</v>
      </c>
    </row>
    <row r="9759" spans="1:9" x14ac:dyDescent="0.3">
      <c r="A9759" t="s">
        <v>10134</v>
      </c>
      <c r="B9759" t="s">
        <v>26</v>
      </c>
      <c r="C9759">
        <v>7648876604</v>
      </c>
      <c r="D9759" s="2">
        <v>1</v>
      </c>
      <c r="E9759" t="str">
        <f>"4574674200877942"</f>
        <v>4574674200877942</v>
      </c>
      <c r="F9759" t="str">
        <f>"305"</f>
        <v>305</v>
      </c>
      <c r="G9759">
        <v>1</v>
      </c>
      <c r="H9759">
        <v>2023</v>
      </c>
      <c r="I9759" t="s">
        <v>9874</v>
      </c>
    </row>
    <row r="9760" spans="1:9" x14ac:dyDescent="0.3">
      <c r="A9760" t="s">
        <v>10134</v>
      </c>
      <c r="B9760" t="s">
        <v>26</v>
      </c>
      <c r="C9760">
        <v>7648876604</v>
      </c>
      <c r="D9760" s="2">
        <v>1</v>
      </c>
      <c r="E9760" t="str">
        <f>"4574674200877959"</f>
        <v>4574674200877959</v>
      </c>
      <c r="F9760" t="str">
        <f>"798"</f>
        <v>798</v>
      </c>
      <c r="G9760">
        <v>1</v>
      </c>
      <c r="H9760">
        <v>2023</v>
      </c>
      <c r="I9760" t="s">
        <v>9875</v>
      </c>
    </row>
    <row r="9761" spans="1:9" x14ac:dyDescent="0.3">
      <c r="A9761" t="s">
        <v>10134</v>
      </c>
      <c r="B9761" t="s">
        <v>26</v>
      </c>
      <c r="C9761">
        <v>7648876604</v>
      </c>
      <c r="D9761" s="2">
        <v>1</v>
      </c>
      <c r="E9761" t="str">
        <f>"4574674200878338"</f>
        <v>4574674200878338</v>
      </c>
      <c r="F9761" t="str">
        <f>"676"</f>
        <v>676</v>
      </c>
      <c r="G9761">
        <v>1</v>
      </c>
      <c r="H9761">
        <v>2023</v>
      </c>
      <c r="I9761" t="s">
        <v>9876</v>
      </c>
    </row>
    <row r="9762" spans="1:9" x14ac:dyDescent="0.3">
      <c r="A9762" t="s">
        <v>10134</v>
      </c>
      <c r="B9762" t="s">
        <v>26</v>
      </c>
      <c r="C9762">
        <v>7648876604</v>
      </c>
      <c r="D9762" s="2">
        <v>1</v>
      </c>
      <c r="E9762" t="str">
        <f>"4574674200877991"</f>
        <v>4574674200877991</v>
      </c>
      <c r="F9762" t="str">
        <f>"736"</f>
        <v>736</v>
      </c>
      <c r="G9762">
        <v>1</v>
      </c>
      <c r="H9762">
        <v>2023</v>
      </c>
      <c r="I9762" t="s">
        <v>9877</v>
      </c>
    </row>
    <row r="9763" spans="1:9" x14ac:dyDescent="0.3">
      <c r="A9763" t="s">
        <v>10134</v>
      </c>
      <c r="B9763" t="s">
        <v>26</v>
      </c>
      <c r="C9763">
        <v>7648876604</v>
      </c>
      <c r="D9763" s="2">
        <v>1</v>
      </c>
      <c r="E9763" t="str">
        <f>"4574674200878619"</f>
        <v>4574674200878619</v>
      </c>
      <c r="F9763" t="str">
        <f>"644"</f>
        <v>644</v>
      </c>
      <c r="G9763">
        <v>1</v>
      </c>
      <c r="H9763">
        <v>2023</v>
      </c>
      <c r="I9763" t="s">
        <v>9878</v>
      </c>
    </row>
    <row r="9764" spans="1:9" x14ac:dyDescent="0.3">
      <c r="A9764" t="s">
        <v>10134</v>
      </c>
      <c r="B9764" t="s">
        <v>26</v>
      </c>
      <c r="C9764">
        <v>7648876604</v>
      </c>
      <c r="D9764" s="2">
        <v>1</v>
      </c>
      <c r="E9764" t="str">
        <f>"4574674200878478"</f>
        <v>4574674200878478</v>
      </c>
      <c r="F9764" t="str">
        <f>"088"</f>
        <v>088</v>
      </c>
      <c r="G9764">
        <v>1</v>
      </c>
      <c r="H9764">
        <v>2023</v>
      </c>
      <c r="I9764" t="s">
        <v>9879</v>
      </c>
    </row>
    <row r="9765" spans="1:9" x14ac:dyDescent="0.3">
      <c r="A9765" t="s">
        <v>10135</v>
      </c>
      <c r="B9765" t="s">
        <v>27</v>
      </c>
      <c r="C9765">
        <v>7648876604</v>
      </c>
      <c r="D9765" s="2">
        <v>1</v>
      </c>
      <c r="E9765" t="str">
        <f>"4574674200878635"</f>
        <v>4574674200878635</v>
      </c>
      <c r="F9765" t="str">
        <f>"670"</f>
        <v>670</v>
      </c>
      <c r="G9765">
        <v>1</v>
      </c>
      <c r="H9765">
        <v>2023</v>
      </c>
      <c r="I9765" t="s">
        <v>9880</v>
      </c>
    </row>
    <row r="9766" spans="1:9" x14ac:dyDescent="0.3">
      <c r="A9766" t="s">
        <v>10135</v>
      </c>
      <c r="B9766" t="s">
        <v>27</v>
      </c>
      <c r="C9766">
        <v>7648876604</v>
      </c>
      <c r="D9766" s="2">
        <v>1</v>
      </c>
      <c r="E9766" t="str">
        <f>"4574674200878643"</f>
        <v>4574674200878643</v>
      </c>
      <c r="F9766" t="str">
        <f>"279"</f>
        <v>279</v>
      </c>
      <c r="G9766">
        <v>1</v>
      </c>
      <c r="H9766">
        <v>2023</v>
      </c>
      <c r="I9766" t="s">
        <v>9881</v>
      </c>
    </row>
    <row r="9767" spans="1:9" x14ac:dyDescent="0.3">
      <c r="A9767" t="s">
        <v>10135</v>
      </c>
      <c r="B9767" t="s">
        <v>27</v>
      </c>
      <c r="C9767">
        <v>7648876604</v>
      </c>
      <c r="D9767" s="2">
        <v>1</v>
      </c>
      <c r="E9767" t="str">
        <f>"4574674200878668"</f>
        <v>4574674200878668</v>
      </c>
      <c r="F9767" t="str">
        <f>"179"</f>
        <v>179</v>
      </c>
      <c r="G9767">
        <v>1</v>
      </c>
      <c r="H9767">
        <v>2023</v>
      </c>
      <c r="I9767" t="s">
        <v>9882</v>
      </c>
    </row>
    <row r="9768" spans="1:9" x14ac:dyDescent="0.3">
      <c r="A9768" t="s">
        <v>10135</v>
      </c>
      <c r="B9768" t="s">
        <v>27</v>
      </c>
      <c r="C9768">
        <v>7648876604</v>
      </c>
      <c r="D9768" s="2">
        <v>1</v>
      </c>
      <c r="E9768" t="str">
        <f>"4574674200878676"</f>
        <v>4574674200878676</v>
      </c>
      <c r="F9768" t="str">
        <f>"191"</f>
        <v>191</v>
      </c>
      <c r="G9768">
        <v>1</v>
      </c>
      <c r="H9768">
        <v>2023</v>
      </c>
      <c r="I9768" t="s">
        <v>9883</v>
      </c>
    </row>
    <row r="9769" spans="1:9" x14ac:dyDescent="0.3">
      <c r="A9769" t="s">
        <v>10135</v>
      </c>
      <c r="B9769" t="s">
        <v>27</v>
      </c>
      <c r="C9769">
        <v>7648876604</v>
      </c>
      <c r="D9769" s="2">
        <v>1</v>
      </c>
      <c r="E9769" t="str">
        <f>"4574674200878817"</f>
        <v>4574674200878817</v>
      </c>
      <c r="F9769" t="str">
        <f>"172"</f>
        <v>172</v>
      </c>
      <c r="G9769">
        <v>1</v>
      </c>
      <c r="H9769">
        <v>2023</v>
      </c>
      <c r="I9769" t="s">
        <v>9884</v>
      </c>
    </row>
    <row r="9770" spans="1:9" x14ac:dyDescent="0.3">
      <c r="A9770" t="s">
        <v>10135</v>
      </c>
      <c r="B9770" t="s">
        <v>27</v>
      </c>
      <c r="C9770">
        <v>7648876604</v>
      </c>
      <c r="D9770" s="2">
        <v>1</v>
      </c>
      <c r="E9770" t="str">
        <f>"4574674200878718"</f>
        <v>4574674200878718</v>
      </c>
      <c r="F9770" t="str">
        <f>"406"</f>
        <v>406</v>
      </c>
      <c r="G9770">
        <v>1</v>
      </c>
      <c r="H9770">
        <v>2023</v>
      </c>
      <c r="I9770" t="s">
        <v>9885</v>
      </c>
    </row>
    <row r="9771" spans="1:9" x14ac:dyDescent="0.3">
      <c r="A9771" t="s">
        <v>10135</v>
      </c>
      <c r="B9771" t="s">
        <v>27</v>
      </c>
      <c r="C9771">
        <v>7648876604</v>
      </c>
      <c r="D9771" s="2">
        <v>1</v>
      </c>
      <c r="E9771" t="str">
        <f>"4574674200878726"</f>
        <v>4574674200878726</v>
      </c>
      <c r="F9771" t="str">
        <f>"476"</f>
        <v>476</v>
      </c>
      <c r="G9771">
        <v>1</v>
      </c>
      <c r="H9771">
        <v>2023</v>
      </c>
      <c r="I9771" t="s">
        <v>9886</v>
      </c>
    </row>
    <row r="9772" spans="1:9" x14ac:dyDescent="0.3">
      <c r="A9772" t="s">
        <v>10135</v>
      </c>
      <c r="B9772" t="s">
        <v>27</v>
      </c>
      <c r="C9772">
        <v>7648876604</v>
      </c>
      <c r="D9772" s="2">
        <v>1</v>
      </c>
      <c r="E9772" t="str">
        <f>"4574674200878742"</f>
        <v>4574674200878742</v>
      </c>
      <c r="F9772" t="str">
        <f>"786"</f>
        <v>786</v>
      </c>
      <c r="G9772">
        <v>1</v>
      </c>
      <c r="H9772">
        <v>2023</v>
      </c>
      <c r="I9772" t="s">
        <v>9887</v>
      </c>
    </row>
    <row r="9773" spans="1:9" x14ac:dyDescent="0.3">
      <c r="A9773" t="s">
        <v>10135</v>
      </c>
      <c r="B9773" t="s">
        <v>27</v>
      </c>
      <c r="C9773">
        <v>7648876604</v>
      </c>
      <c r="D9773" s="2">
        <v>1</v>
      </c>
      <c r="E9773" t="str">
        <f>"4574674200878775"</f>
        <v>4574674200878775</v>
      </c>
      <c r="F9773" t="str">
        <f>"914"</f>
        <v>914</v>
      </c>
      <c r="G9773">
        <v>1</v>
      </c>
      <c r="H9773">
        <v>2023</v>
      </c>
      <c r="I9773" t="s">
        <v>9888</v>
      </c>
    </row>
    <row r="9774" spans="1:9" x14ac:dyDescent="0.3">
      <c r="A9774" t="s">
        <v>10135</v>
      </c>
      <c r="B9774" t="s">
        <v>27</v>
      </c>
      <c r="C9774">
        <v>7648876604</v>
      </c>
      <c r="D9774" s="2">
        <v>1</v>
      </c>
      <c r="E9774" t="str">
        <f>"4574674200878783"</f>
        <v>4574674200878783</v>
      </c>
      <c r="F9774" t="str">
        <f>"733"</f>
        <v>733</v>
      </c>
      <c r="G9774">
        <v>1</v>
      </c>
      <c r="H9774">
        <v>2023</v>
      </c>
      <c r="I9774" t="s">
        <v>9889</v>
      </c>
    </row>
    <row r="9775" spans="1:9" x14ac:dyDescent="0.3">
      <c r="A9775" t="s">
        <v>10136</v>
      </c>
      <c r="B9775" t="s">
        <v>28</v>
      </c>
      <c r="C9775">
        <v>7648876604</v>
      </c>
      <c r="D9775" s="2">
        <v>1</v>
      </c>
      <c r="E9775" t="str">
        <f>"4574674200878791"</f>
        <v>4574674200878791</v>
      </c>
      <c r="F9775" t="str">
        <f>"981"</f>
        <v>981</v>
      </c>
      <c r="G9775">
        <v>1</v>
      </c>
      <c r="H9775">
        <v>2023</v>
      </c>
      <c r="I9775" t="s">
        <v>9890</v>
      </c>
    </row>
    <row r="9776" spans="1:9" x14ac:dyDescent="0.3">
      <c r="A9776" t="s">
        <v>10136</v>
      </c>
      <c r="B9776" t="s">
        <v>28</v>
      </c>
      <c r="C9776">
        <v>7648876604</v>
      </c>
      <c r="D9776" s="2">
        <v>1</v>
      </c>
      <c r="E9776" t="str">
        <f>"4574674200879005"</f>
        <v>4574674200879005</v>
      </c>
      <c r="F9776" t="str">
        <f>"626"</f>
        <v>626</v>
      </c>
      <c r="G9776">
        <v>1</v>
      </c>
      <c r="H9776">
        <v>2023</v>
      </c>
      <c r="I9776" t="s">
        <v>9891</v>
      </c>
    </row>
    <row r="9777" spans="1:9" x14ac:dyDescent="0.3">
      <c r="A9777" t="s">
        <v>10136</v>
      </c>
      <c r="B9777" t="s">
        <v>28</v>
      </c>
      <c r="C9777">
        <v>7648876604</v>
      </c>
      <c r="D9777" s="2">
        <v>1</v>
      </c>
      <c r="E9777" t="str">
        <f>"4574674200879245"</f>
        <v>4574674200879245</v>
      </c>
      <c r="F9777" t="str">
        <f>"044"</f>
        <v>044</v>
      </c>
      <c r="G9777">
        <v>1</v>
      </c>
      <c r="H9777">
        <v>2023</v>
      </c>
      <c r="I9777" t="s">
        <v>9892</v>
      </c>
    </row>
    <row r="9778" spans="1:9" x14ac:dyDescent="0.3">
      <c r="A9778" t="s">
        <v>10136</v>
      </c>
      <c r="B9778" t="s">
        <v>28</v>
      </c>
      <c r="C9778">
        <v>7648876604</v>
      </c>
      <c r="D9778" s="2">
        <v>1</v>
      </c>
      <c r="E9778" t="str">
        <f>"4574674200879237"</f>
        <v>4574674200879237</v>
      </c>
      <c r="F9778" t="str">
        <f>"386"</f>
        <v>386</v>
      </c>
      <c r="G9778">
        <v>1</v>
      </c>
      <c r="H9778">
        <v>2023</v>
      </c>
      <c r="I9778" t="s">
        <v>9893</v>
      </c>
    </row>
    <row r="9779" spans="1:9" x14ac:dyDescent="0.3">
      <c r="A9779" t="s">
        <v>10136</v>
      </c>
      <c r="B9779" t="s">
        <v>28</v>
      </c>
      <c r="C9779">
        <v>7648876604</v>
      </c>
      <c r="D9779" s="2">
        <v>1</v>
      </c>
      <c r="E9779" t="str">
        <f>"4574674200879179"</f>
        <v>4574674200879179</v>
      </c>
      <c r="F9779" t="str">
        <f>"056"</f>
        <v>056</v>
      </c>
      <c r="G9779">
        <v>1</v>
      </c>
      <c r="H9779">
        <v>2023</v>
      </c>
      <c r="I9779" t="s">
        <v>9894</v>
      </c>
    </row>
    <row r="9780" spans="1:9" x14ac:dyDescent="0.3">
      <c r="A9780" t="s">
        <v>10136</v>
      </c>
      <c r="B9780" t="s">
        <v>28</v>
      </c>
      <c r="C9780">
        <v>7648876604</v>
      </c>
      <c r="D9780" s="2">
        <v>1</v>
      </c>
      <c r="E9780" t="str">
        <f>"4574674200879278"</f>
        <v>4574674200879278</v>
      </c>
      <c r="F9780" t="str">
        <f>"294"</f>
        <v>294</v>
      </c>
      <c r="G9780">
        <v>1</v>
      </c>
      <c r="H9780">
        <v>2023</v>
      </c>
      <c r="I9780" t="s">
        <v>9895</v>
      </c>
    </row>
    <row r="9781" spans="1:9" x14ac:dyDescent="0.3">
      <c r="A9781" t="s">
        <v>10136</v>
      </c>
      <c r="B9781" t="s">
        <v>28</v>
      </c>
      <c r="C9781">
        <v>7648876604</v>
      </c>
      <c r="D9781" s="2">
        <v>1</v>
      </c>
      <c r="E9781" t="str">
        <f>"4574674200879286"</f>
        <v>4574674200879286</v>
      </c>
      <c r="F9781" t="str">
        <f>"993"</f>
        <v>993</v>
      </c>
      <c r="G9781">
        <v>1</v>
      </c>
      <c r="H9781">
        <v>2023</v>
      </c>
      <c r="I9781" t="s">
        <v>9896</v>
      </c>
    </row>
    <row r="9782" spans="1:9" x14ac:dyDescent="0.3">
      <c r="A9782" t="s">
        <v>10136</v>
      </c>
      <c r="B9782" t="s">
        <v>28</v>
      </c>
      <c r="C9782">
        <v>7648876604</v>
      </c>
      <c r="D9782" s="2">
        <v>1</v>
      </c>
      <c r="E9782" t="str">
        <f>"4574674200879294"</f>
        <v>4574674200879294</v>
      </c>
      <c r="F9782" t="str">
        <f>"023"</f>
        <v>023</v>
      </c>
      <c r="G9782">
        <v>1</v>
      </c>
      <c r="H9782">
        <v>2023</v>
      </c>
      <c r="I9782" t="s">
        <v>9897</v>
      </c>
    </row>
    <row r="9783" spans="1:9" x14ac:dyDescent="0.3">
      <c r="A9783" t="s">
        <v>10136</v>
      </c>
      <c r="B9783" t="s">
        <v>28</v>
      </c>
      <c r="C9783">
        <v>7648876604</v>
      </c>
      <c r="D9783" s="2">
        <v>1</v>
      </c>
      <c r="E9783" t="str">
        <f>"4574674200879310"</f>
        <v>4574674200879310</v>
      </c>
      <c r="F9783" t="str">
        <f>"314"</f>
        <v>314</v>
      </c>
      <c r="G9783">
        <v>1</v>
      </c>
      <c r="H9783">
        <v>2023</v>
      </c>
      <c r="I9783" t="s">
        <v>9898</v>
      </c>
    </row>
    <row r="9784" spans="1:9" x14ac:dyDescent="0.3">
      <c r="A9784" t="s">
        <v>10136</v>
      </c>
      <c r="B9784" t="s">
        <v>28</v>
      </c>
      <c r="C9784">
        <v>7648876604</v>
      </c>
      <c r="D9784" s="2">
        <v>1</v>
      </c>
      <c r="E9784" t="str">
        <f>"4574674200879351"</f>
        <v>4574674200879351</v>
      </c>
      <c r="F9784" t="str">
        <f>"739"</f>
        <v>739</v>
      </c>
      <c r="G9784">
        <v>1</v>
      </c>
      <c r="H9784">
        <v>2023</v>
      </c>
      <c r="I9784" t="s">
        <v>9899</v>
      </c>
    </row>
    <row r="9785" spans="1:9" x14ac:dyDescent="0.3">
      <c r="A9785" t="s">
        <v>10137</v>
      </c>
      <c r="B9785" t="s">
        <v>29</v>
      </c>
      <c r="C9785">
        <v>7648876604</v>
      </c>
      <c r="D9785" s="2">
        <v>1</v>
      </c>
      <c r="E9785" t="str">
        <f>"4574674200879377"</f>
        <v>4574674200879377</v>
      </c>
      <c r="F9785" t="str">
        <f>"243"</f>
        <v>243</v>
      </c>
      <c r="G9785">
        <v>1</v>
      </c>
      <c r="H9785">
        <v>2023</v>
      </c>
      <c r="I9785" t="s">
        <v>9900</v>
      </c>
    </row>
    <row r="9786" spans="1:9" x14ac:dyDescent="0.3">
      <c r="A9786" t="s">
        <v>10137</v>
      </c>
      <c r="B9786" t="s">
        <v>29</v>
      </c>
      <c r="C9786">
        <v>7648876604</v>
      </c>
      <c r="D9786" s="2">
        <v>1</v>
      </c>
      <c r="E9786" t="str">
        <f>"4574674200879534"</f>
        <v>4574674200879534</v>
      </c>
      <c r="F9786" t="str">
        <f>"163"</f>
        <v>163</v>
      </c>
      <c r="G9786">
        <v>1</v>
      </c>
      <c r="H9786">
        <v>2023</v>
      </c>
      <c r="I9786" t="s">
        <v>9901</v>
      </c>
    </row>
    <row r="9787" spans="1:9" x14ac:dyDescent="0.3">
      <c r="A9787" t="s">
        <v>10137</v>
      </c>
      <c r="B9787" t="s">
        <v>29</v>
      </c>
      <c r="C9787">
        <v>7648876604</v>
      </c>
      <c r="D9787" s="2">
        <v>1</v>
      </c>
      <c r="E9787" t="str">
        <f>"4574674200879385"</f>
        <v>4574674200879385</v>
      </c>
      <c r="F9787" t="str">
        <f>"993"</f>
        <v>993</v>
      </c>
      <c r="G9787">
        <v>1</v>
      </c>
      <c r="H9787">
        <v>2023</v>
      </c>
      <c r="I9787" t="s">
        <v>9902</v>
      </c>
    </row>
    <row r="9788" spans="1:9" x14ac:dyDescent="0.3">
      <c r="A9788" t="s">
        <v>10137</v>
      </c>
      <c r="B9788" t="s">
        <v>29</v>
      </c>
      <c r="C9788">
        <v>7648876604</v>
      </c>
      <c r="D9788" s="2">
        <v>1</v>
      </c>
      <c r="E9788" t="str">
        <f>"4574674200879807"</f>
        <v>4574674200879807</v>
      </c>
      <c r="F9788" t="str">
        <f>"841"</f>
        <v>841</v>
      </c>
      <c r="G9788">
        <v>1</v>
      </c>
      <c r="H9788">
        <v>2023</v>
      </c>
      <c r="I9788" t="s">
        <v>9903</v>
      </c>
    </row>
    <row r="9789" spans="1:9" x14ac:dyDescent="0.3">
      <c r="A9789" t="s">
        <v>10137</v>
      </c>
      <c r="B9789" t="s">
        <v>29</v>
      </c>
      <c r="C9789">
        <v>7648876604</v>
      </c>
      <c r="D9789" s="2">
        <v>1</v>
      </c>
      <c r="E9789" t="str">
        <f>"4574674200879823"</f>
        <v>4574674200879823</v>
      </c>
      <c r="F9789" t="str">
        <f>"383"</f>
        <v>383</v>
      </c>
      <c r="G9789">
        <v>1</v>
      </c>
      <c r="H9789">
        <v>2023</v>
      </c>
      <c r="I9789" t="s">
        <v>9904</v>
      </c>
    </row>
    <row r="9790" spans="1:9" x14ac:dyDescent="0.3">
      <c r="A9790" t="s">
        <v>10137</v>
      </c>
      <c r="B9790" t="s">
        <v>29</v>
      </c>
      <c r="C9790">
        <v>7648876604</v>
      </c>
      <c r="D9790" s="2">
        <v>1</v>
      </c>
      <c r="E9790" t="str">
        <f>"4574674200879831"</f>
        <v>4574674200879831</v>
      </c>
      <c r="F9790" t="str">
        <f>"981"</f>
        <v>981</v>
      </c>
      <c r="G9790">
        <v>1</v>
      </c>
      <c r="H9790">
        <v>2023</v>
      </c>
      <c r="I9790" t="s">
        <v>9905</v>
      </c>
    </row>
    <row r="9791" spans="1:9" x14ac:dyDescent="0.3">
      <c r="A9791" t="s">
        <v>10137</v>
      </c>
      <c r="B9791" t="s">
        <v>29</v>
      </c>
      <c r="C9791">
        <v>7648876604</v>
      </c>
      <c r="D9791" s="2">
        <v>1</v>
      </c>
      <c r="E9791" t="str">
        <f>"4574674200879864"</f>
        <v>4574674200879864</v>
      </c>
      <c r="F9791" t="str">
        <f>"460"</f>
        <v>460</v>
      </c>
      <c r="G9791">
        <v>1</v>
      </c>
      <c r="H9791">
        <v>2023</v>
      </c>
      <c r="I9791" t="s">
        <v>9906</v>
      </c>
    </row>
    <row r="9792" spans="1:9" x14ac:dyDescent="0.3">
      <c r="A9792" t="s">
        <v>10137</v>
      </c>
      <c r="B9792" t="s">
        <v>29</v>
      </c>
      <c r="C9792">
        <v>7648876604</v>
      </c>
      <c r="D9792" s="2">
        <v>1</v>
      </c>
      <c r="E9792" t="str">
        <f>"4574674200879880"</f>
        <v>4574674200879880</v>
      </c>
      <c r="F9792" t="str">
        <f>"588"</f>
        <v>588</v>
      </c>
      <c r="G9792">
        <v>1</v>
      </c>
      <c r="H9792">
        <v>2023</v>
      </c>
      <c r="I9792" t="s">
        <v>9907</v>
      </c>
    </row>
    <row r="9793" spans="1:9" x14ac:dyDescent="0.3">
      <c r="A9793" t="s">
        <v>10137</v>
      </c>
      <c r="B9793" t="s">
        <v>29</v>
      </c>
      <c r="C9793">
        <v>7648876604</v>
      </c>
      <c r="D9793" s="2">
        <v>1</v>
      </c>
      <c r="E9793" t="str">
        <f>"4574674200879690"</f>
        <v>4574674200879690</v>
      </c>
      <c r="F9793" t="str">
        <f>"946"</f>
        <v>946</v>
      </c>
      <c r="G9793">
        <v>1</v>
      </c>
      <c r="H9793">
        <v>2023</v>
      </c>
      <c r="I9793" t="s">
        <v>9908</v>
      </c>
    </row>
    <row r="9794" spans="1:9" x14ac:dyDescent="0.3">
      <c r="A9794" t="s">
        <v>10137</v>
      </c>
      <c r="B9794" t="s">
        <v>29</v>
      </c>
      <c r="C9794">
        <v>7648876604</v>
      </c>
      <c r="D9794" s="2">
        <v>1</v>
      </c>
      <c r="E9794" t="str">
        <f>"4574674200879906"</f>
        <v>4574674200879906</v>
      </c>
      <c r="F9794" t="str">
        <f>"295"</f>
        <v>295</v>
      </c>
      <c r="G9794">
        <v>1</v>
      </c>
      <c r="H9794">
        <v>2023</v>
      </c>
      <c r="I9794" t="s">
        <v>9909</v>
      </c>
    </row>
    <row r="9795" spans="1:9" x14ac:dyDescent="0.3">
      <c r="A9795" t="s">
        <v>10138</v>
      </c>
      <c r="B9795" t="s">
        <v>30</v>
      </c>
      <c r="C9795">
        <v>7648876604</v>
      </c>
      <c r="D9795" s="2">
        <v>1</v>
      </c>
      <c r="E9795" t="str">
        <f>"4574674200879914"</f>
        <v>4574674200879914</v>
      </c>
      <c r="F9795" t="str">
        <f>"104"</f>
        <v>104</v>
      </c>
      <c r="G9795">
        <v>1</v>
      </c>
      <c r="H9795">
        <v>2023</v>
      </c>
      <c r="I9795" t="s">
        <v>9910</v>
      </c>
    </row>
    <row r="9796" spans="1:9" x14ac:dyDescent="0.3">
      <c r="A9796" t="s">
        <v>10138</v>
      </c>
      <c r="B9796" t="s">
        <v>30</v>
      </c>
      <c r="C9796">
        <v>7648876604</v>
      </c>
      <c r="D9796" s="2">
        <v>1</v>
      </c>
      <c r="E9796" t="str">
        <f>"4574674200879955"</f>
        <v>4574674200879955</v>
      </c>
      <c r="F9796" t="str">
        <f>"942"</f>
        <v>942</v>
      </c>
      <c r="G9796">
        <v>1</v>
      </c>
      <c r="H9796">
        <v>2023</v>
      </c>
      <c r="I9796" t="s">
        <v>9911</v>
      </c>
    </row>
    <row r="9797" spans="1:9" x14ac:dyDescent="0.3">
      <c r="A9797" t="s">
        <v>10138</v>
      </c>
      <c r="B9797" t="s">
        <v>30</v>
      </c>
      <c r="C9797">
        <v>7648876604</v>
      </c>
      <c r="D9797" s="2">
        <v>1</v>
      </c>
      <c r="E9797" t="str">
        <f>"4574674200880102"</f>
        <v>4574674200880102</v>
      </c>
      <c r="F9797" t="str">
        <f>"866"</f>
        <v>866</v>
      </c>
      <c r="G9797">
        <v>1</v>
      </c>
      <c r="H9797">
        <v>2023</v>
      </c>
      <c r="I9797" t="s">
        <v>9912</v>
      </c>
    </row>
    <row r="9798" spans="1:9" x14ac:dyDescent="0.3">
      <c r="A9798" t="s">
        <v>10138</v>
      </c>
      <c r="B9798" t="s">
        <v>30</v>
      </c>
      <c r="C9798">
        <v>7648876604</v>
      </c>
      <c r="D9798" s="2">
        <v>1</v>
      </c>
      <c r="E9798" t="str">
        <f>"4574674200879948"</f>
        <v>4574674200879948</v>
      </c>
      <c r="F9798" t="str">
        <f>"084"</f>
        <v>084</v>
      </c>
      <c r="G9798">
        <v>1</v>
      </c>
      <c r="H9798">
        <v>2023</v>
      </c>
      <c r="I9798" t="s">
        <v>9913</v>
      </c>
    </row>
    <row r="9799" spans="1:9" x14ac:dyDescent="0.3">
      <c r="A9799" t="s">
        <v>10138</v>
      </c>
      <c r="B9799" t="s">
        <v>30</v>
      </c>
      <c r="C9799">
        <v>7648876604</v>
      </c>
      <c r="D9799" s="2">
        <v>1</v>
      </c>
      <c r="E9799" t="str">
        <f>"4574674200879997"</f>
        <v>4574674200879997</v>
      </c>
      <c r="F9799" t="str">
        <f>"339"</f>
        <v>339</v>
      </c>
      <c r="G9799">
        <v>1</v>
      </c>
      <c r="H9799">
        <v>2023</v>
      </c>
      <c r="I9799" t="s">
        <v>9914</v>
      </c>
    </row>
    <row r="9800" spans="1:9" x14ac:dyDescent="0.3">
      <c r="A9800" t="s">
        <v>10138</v>
      </c>
      <c r="B9800" t="s">
        <v>30</v>
      </c>
      <c r="C9800">
        <v>7648876604</v>
      </c>
      <c r="D9800" s="2">
        <v>1</v>
      </c>
      <c r="E9800" t="str">
        <f>"4574674200880219"</f>
        <v>4574674200880219</v>
      </c>
      <c r="F9800" t="str">
        <f>"758"</f>
        <v>758</v>
      </c>
      <c r="G9800">
        <v>1</v>
      </c>
      <c r="H9800">
        <v>2023</v>
      </c>
      <c r="I9800" t="s">
        <v>9915</v>
      </c>
    </row>
    <row r="9801" spans="1:9" x14ac:dyDescent="0.3">
      <c r="A9801" t="s">
        <v>10138</v>
      </c>
      <c r="B9801" t="s">
        <v>30</v>
      </c>
      <c r="C9801">
        <v>7648876604</v>
      </c>
      <c r="D9801" s="2">
        <v>1</v>
      </c>
      <c r="E9801" t="str">
        <f>"4574674200880235"</f>
        <v>4574674200880235</v>
      </c>
      <c r="F9801" t="str">
        <f>"459"</f>
        <v>459</v>
      </c>
      <c r="G9801">
        <v>1</v>
      </c>
      <c r="H9801">
        <v>2023</v>
      </c>
      <c r="I9801" t="s">
        <v>9916</v>
      </c>
    </row>
    <row r="9802" spans="1:9" x14ac:dyDescent="0.3">
      <c r="A9802" t="s">
        <v>10138</v>
      </c>
      <c r="B9802" t="s">
        <v>30</v>
      </c>
      <c r="C9802">
        <v>7648876604</v>
      </c>
      <c r="D9802" s="2">
        <v>1</v>
      </c>
      <c r="E9802" t="str">
        <f>"4574674200880227"</f>
        <v>4574674200880227</v>
      </c>
      <c r="F9802" t="str">
        <f>"363"</f>
        <v>363</v>
      </c>
      <c r="G9802">
        <v>1</v>
      </c>
      <c r="H9802">
        <v>2023</v>
      </c>
      <c r="I9802" t="s">
        <v>9917</v>
      </c>
    </row>
    <row r="9803" spans="1:9" x14ac:dyDescent="0.3">
      <c r="A9803" t="s">
        <v>10138</v>
      </c>
      <c r="B9803" t="s">
        <v>30</v>
      </c>
      <c r="C9803">
        <v>7648876604</v>
      </c>
      <c r="D9803" s="2">
        <v>1</v>
      </c>
      <c r="E9803" t="str">
        <f>"4574674200880508"</f>
        <v>4574674200880508</v>
      </c>
      <c r="F9803" t="str">
        <f>"357"</f>
        <v>357</v>
      </c>
      <c r="G9803">
        <v>1</v>
      </c>
      <c r="H9803">
        <v>2023</v>
      </c>
      <c r="I9803" t="s">
        <v>9918</v>
      </c>
    </row>
    <row r="9804" spans="1:9" x14ac:dyDescent="0.3">
      <c r="A9804" t="s">
        <v>10138</v>
      </c>
      <c r="B9804" t="s">
        <v>30</v>
      </c>
      <c r="C9804">
        <v>7648876604</v>
      </c>
      <c r="D9804" s="2">
        <v>1</v>
      </c>
      <c r="E9804" t="str">
        <f>"4574674200880268"</f>
        <v>4574674200880268</v>
      </c>
      <c r="F9804" t="str">
        <f>"675"</f>
        <v>675</v>
      </c>
      <c r="G9804">
        <v>1</v>
      </c>
      <c r="H9804">
        <v>2023</v>
      </c>
      <c r="I9804" t="s">
        <v>9919</v>
      </c>
    </row>
    <row r="9805" spans="1:9" x14ac:dyDescent="0.3">
      <c r="A9805" t="s">
        <v>10139</v>
      </c>
      <c r="B9805" t="s">
        <v>31</v>
      </c>
      <c r="C9805">
        <v>7648876604</v>
      </c>
      <c r="D9805" s="2">
        <v>1</v>
      </c>
      <c r="E9805" t="str">
        <f>"4574674200880284"</f>
        <v>4574674200880284</v>
      </c>
      <c r="F9805" t="str">
        <f>"922"</f>
        <v>922</v>
      </c>
      <c r="G9805">
        <v>1</v>
      </c>
      <c r="H9805">
        <v>2023</v>
      </c>
      <c r="I9805" t="s">
        <v>9920</v>
      </c>
    </row>
    <row r="9806" spans="1:9" x14ac:dyDescent="0.3">
      <c r="A9806" t="s">
        <v>10139</v>
      </c>
      <c r="B9806" t="s">
        <v>31</v>
      </c>
      <c r="C9806">
        <v>7648876604</v>
      </c>
      <c r="D9806" s="2">
        <v>1</v>
      </c>
      <c r="E9806" t="str">
        <f>"4574674200880300"</f>
        <v>4574674200880300</v>
      </c>
      <c r="F9806" t="str">
        <f>"760"</f>
        <v>760</v>
      </c>
      <c r="G9806">
        <v>1</v>
      </c>
      <c r="H9806">
        <v>2023</v>
      </c>
      <c r="I9806" t="s">
        <v>9921</v>
      </c>
    </row>
    <row r="9807" spans="1:9" x14ac:dyDescent="0.3">
      <c r="A9807" t="s">
        <v>10139</v>
      </c>
      <c r="B9807" t="s">
        <v>31</v>
      </c>
      <c r="C9807">
        <v>7648876604</v>
      </c>
      <c r="D9807" s="2">
        <v>1</v>
      </c>
      <c r="E9807" t="str">
        <f>"4574674200880326"</f>
        <v>4574674200880326</v>
      </c>
      <c r="F9807" t="str">
        <f>"601"</f>
        <v>601</v>
      </c>
      <c r="G9807">
        <v>1</v>
      </c>
      <c r="H9807">
        <v>2023</v>
      </c>
      <c r="I9807" t="s">
        <v>9922</v>
      </c>
    </row>
    <row r="9808" spans="1:9" x14ac:dyDescent="0.3">
      <c r="A9808" t="s">
        <v>10139</v>
      </c>
      <c r="B9808" t="s">
        <v>31</v>
      </c>
      <c r="C9808">
        <v>7648876604</v>
      </c>
      <c r="D9808" s="2">
        <v>1</v>
      </c>
      <c r="E9808" t="str">
        <f>"4574674200880672"</f>
        <v>4574674200880672</v>
      </c>
      <c r="F9808" t="str">
        <f>"244"</f>
        <v>244</v>
      </c>
      <c r="G9808">
        <v>1</v>
      </c>
      <c r="H9808">
        <v>2023</v>
      </c>
      <c r="I9808" t="s">
        <v>9923</v>
      </c>
    </row>
    <row r="9809" spans="1:9" x14ac:dyDescent="0.3">
      <c r="A9809" t="s">
        <v>10139</v>
      </c>
      <c r="B9809" t="s">
        <v>31</v>
      </c>
      <c r="C9809">
        <v>7648876604</v>
      </c>
      <c r="D9809" s="2">
        <v>1</v>
      </c>
      <c r="E9809" t="str">
        <f>"4574674200880342"</f>
        <v>4574674200880342</v>
      </c>
      <c r="F9809" t="str">
        <f>"612"</f>
        <v>612</v>
      </c>
      <c r="G9809">
        <v>1</v>
      </c>
      <c r="H9809">
        <v>2023</v>
      </c>
      <c r="I9809" t="s">
        <v>9924</v>
      </c>
    </row>
    <row r="9810" spans="1:9" x14ac:dyDescent="0.3">
      <c r="A9810" t="s">
        <v>10139</v>
      </c>
      <c r="B9810" t="s">
        <v>31</v>
      </c>
      <c r="C9810">
        <v>7648876604</v>
      </c>
      <c r="D9810" s="2">
        <v>1</v>
      </c>
      <c r="E9810" t="str">
        <f>"4574674200880359"</f>
        <v>4574674200880359</v>
      </c>
      <c r="F9810" t="str">
        <f>"489"</f>
        <v>489</v>
      </c>
      <c r="G9810">
        <v>1</v>
      </c>
      <c r="H9810">
        <v>2023</v>
      </c>
      <c r="I9810" t="s">
        <v>9925</v>
      </c>
    </row>
    <row r="9811" spans="1:9" x14ac:dyDescent="0.3">
      <c r="A9811" t="s">
        <v>10139</v>
      </c>
      <c r="B9811" t="s">
        <v>31</v>
      </c>
      <c r="C9811">
        <v>7648876604</v>
      </c>
      <c r="D9811" s="2">
        <v>1</v>
      </c>
      <c r="E9811" t="str">
        <f>"4574674200880375"</f>
        <v>4574674200880375</v>
      </c>
      <c r="F9811" t="str">
        <f>"984"</f>
        <v>984</v>
      </c>
      <c r="G9811">
        <v>1</v>
      </c>
      <c r="H9811">
        <v>2023</v>
      </c>
      <c r="I9811" t="s">
        <v>9926</v>
      </c>
    </row>
    <row r="9812" spans="1:9" x14ac:dyDescent="0.3">
      <c r="A9812" t="s">
        <v>10139</v>
      </c>
      <c r="B9812" t="s">
        <v>31</v>
      </c>
      <c r="C9812">
        <v>7648876604</v>
      </c>
      <c r="D9812" s="2">
        <v>1</v>
      </c>
      <c r="E9812" t="str">
        <f>"4574674200881001"</f>
        <v>4574674200881001</v>
      </c>
      <c r="F9812" t="str">
        <f>"997"</f>
        <v>997</v>
      </c>
      <c r="G9812">
        <v>1</v>
      </c>
      <c r="H9812">
        <v>2023</v>
      </c>
      <c r="I9812" t="s">
        <v>9927</v>
      </c>
    </row>
    <row r="9813" spans="1:9" x14ac:dyDescent="0.3">
      <c r="A9813" t="s">
        <v>10139</v>
      </c>
      <c r="B9813" t="s">
        <v>31</v>
      </c>
      <c r="C9813">
        <v>7648876604</v>
      </c>
      <c r="D9813" s="2">
        <v>1</v>
      </c>
      <c r="E9813" t="str">
        <f>"4574674200881027"</f>
        <v>4574674200881027</v>
      </c>
      <c r="F9813" t="str">
        <f>"147"</f>
        <v>147</v>
      </c>
      <c r="G9813">
        <v>1</v>
      </c>
      <c r="H9813">
        <v>2023</v>
      </c>
      <c r="I9813" t="s">
        <v>9928</v>
      </c>
    </row>
    <row r="9814" spans="1:9" x14ac:dyDescent="0.3">
      <c r="A9814" t="s">
        <v>10139</v>
      </c>
      <c r="B9814" t="s">
        <v>31</v>
      </c>
      <c r="C9814">
        <v>7648876604</v>
      </c>
      <c r="D9814" s="2">
        <v>1</v>
      </c>
      <c r="E9814" t="str">
        <f>"4574674200881043"</f>
        <v>4574674200881043</v>
      </c>
      <c r="F9814" t="str">
        <f>"215"</f>
        <v>215</v>
      </c>
      <c r="G9814">
        <v>1</v>
      </c>
      <c r="H9814">
        <v>2023</v>
      </c>
      <c r="I9814" t="s">
        <v>9929</v>
      </c>
    </row>
    <row r="9815" spans="1:9" x14ac:dyDescent="0.3">
      <c r="A9815" t="s">
        <v>10138</v>
      </c>
      <c r="B9815" t="s">
        <v>30</v>
      </c>
      <c r="C9815">
        <v>7648876604</v>
      </c>
      <c r="D9815" s="2">
        <v>1</v>
      </c>
      <c r="E9815" t="str">
        <f>"4574674200880862"</f>
        <v>4574674200880862</v>
      </c>
      <c r="F9815" t="str">
        <f>"439"</f>
        <v>439</v>
      </c>
      <c r="G9815">
        <v>1</v>
      </c>
      <c r="H9815">
        <v>2023</v>
      </c>
      <c r="I9815" t="s">
        <v>9930</v>
      </c>
    </row>
    <row r="9816" spans="1:9" x14ac:dyDescent="0.3">
      <c r="A9816" t="s">
        <v>10138</v>
      </c>
      <c r="B9816" t="s">
        <v>30</v>
      </c>
      <c r="C9816">
        <v>7648876604</v>
      </c>
      <c r="D9816" s="2">
        <v>1</v>
      </c>
      <c r="E9816" t="str">
        <f>"4574674200881076"</f>
        <v>4574674200881076</v>
      </c>
      <c r="F9816" t="str">
        <f>"659"</f>
        <v>659</v>
      </c>
      <c r="G9816">
        <v>1</v>
      </c>
      <c r="H9816">
        <v>2023</v>
      </c>
      <c r="I9816" t="s">
        <v>9931</v>
      </c>
    </row>
    <row r="9817" spans="1:9" x14ac:dyDescent="0.3">
      <c r="A9817" t="s">
        <v>10138</v>
      </c>
      <c r="B9817" t="s">
        <v>30</v>
      </c>
      <c r="C9817">
        <v>7648876604</v>
      </c>
      <c r="D9817" s="2">
        <v>1</v>
      </c>
      <c r="E9817" t="str">
        <f>"4574674200881068"</f>
        <v>4574674200881068</v>
      </c>
      <c r="F9817" t="str">
        <f>"998"</f>
        <v>998</v>
      </c>
      <c r="G9817">
        <v>1</v>
      </c>
      <c r="H9817">
        <v>2023</v>
      </c>
      <c r="I9817" t="s">
        <v>9932</v>
      </c>
    </row>
    <row r="9818" spans="1:9" x14ac:dyDescent="0.3">
      <c r="A9818" t="s">
        <v>10138</v>
      </c>
      <c r="B9818" t="s">
        <v>30</v>
      </c>
      <c r="C9818">
        <v>7648876604</v>
      </c>
      <c r="D9818" s="2">
        <v>1</v>
      </c>
      <c r="E9818" t="str">
        <f>"4574674200881266"</f>
        <v>4574674200881266</v>
      </c>
      <c r="F9818" t="str">
        <f>"530"</f>
        <v>530</v>
      </c>
      <c r="G9818">
        <v>1</v>
      </c>
      <c r="H9818">
        <v>2023</v>
      </c>
      <c r="I9818" t="s">
        <v>9933</v>
      </c>
    </row>
    <row r="9819" spans="1:9" x14ac:dyDescent="0.3">
      <c r="A9819" t="s">
        <v>10138</v>
      </c>
      <c r="B9819" t="s">
        <v>30</v>
      </c>
      <c r="C9819">
        <v>7648876604</v>
      </c>
      <c r="D9819" s="2">
        <v>1</v>
      </c>
      <c r="E9819" t="str">
        <f>"4574674200881100"</f>
        <v>4574674200881100</v>
      </c>
      <c r="F9819" t="str">
        <f>"263"</f>
        <v>263</v>
      </c>
      <c r="G9819">
        <v>1</v>
      </c>
      <c r="H9819">
        <v>2023</v>
      </c>
      <c r="I9819" t="s">
        <v>9934</v>
      </c>
    </row>
    <row r="9820" spans="1:9" x14ac:dyDescent="0.3">
      <c r="A9820" t="s">
        <v>10138</v>
      </c>
      <c r="B9820" t="s">
        <v>30</v>
      </c>
      <c r="C9820">
        <v>7648876604</v>
      </c>
      <c r="D9820" s="2">
        <v>1</v>
      </c>
      <c r="E9820" t="str">
        <f>"4574674200881118"</f>
        <v>4574674200881118</v>
      </c>
      <c r="F9820" t="str">
        <f>"596"</f>
        <v>596</v>
      </c>
      <c r="G9820">
        <v>1</v>
      </c>
      <c r="H9820">
        <v>2023</v>
      </c>
      <c r="I9820" t="s">
        <v>9935</v>
      </c>
    </row>
    <row r="9821" spans="1:9" x14ac:dyDescent="0.3">
      <c r="A9821" t="s">
        <v>10138</v>
      </c>
      <c r="B9821" t="s">
        <v>30</v>
      </c>
      <c r="C9821">
        <v>7648876604</v>
      </c>
      <c r="D9821" s="2">
        <v>1</v>
      </c>
      <c r="E9821" t="str">
        <f>"4574674200881159"</f>
        <v>4574674200881159</v>
      </c>
      <c r="F9821" t="str">
        <f>"068"</f>
        <v>068</v>
      </c>
      <c r="G9821">
        <v>1</v>
      </c>
      <c r="H9821">
        <v>2023</v>
      </c>
      <c r="I9821" t="s">
        <v>9936</v>
      </c>
    </row>
    <row r="9822" spans="1:9" x14ac:dyDescent="0.3">
      <c r="A9822" t="s">
        <v>10138</v>
      </c>
      <c r="B9822" t="s">
        <v>30</v>
      </c>
      <c r="C9822">
        <v>7648876604</v>
      </c>
      <c r="D9822" s="2">
        <v>1</v>
      </c>
      <c r="E9822" t="str">
        <f>"4574674200881167"</f>
        <v>4574674200881167</v>
      </c>
      <c r="F9822" t="str">
        <f>"724"</f>
        <v>724</v>
      </c>
      <c r="G9822">
        <v>1</v>
      </c>
      <c r="H9822">
        <v>2023</v>
      </c>
      <c r="I9822" t="s">
        <v>9937</v>
      </c>
    </row>
    <row r="9823" spans="1:9" x14ac:dyDescent="0.3">
      <c r="A9823" t="s">
        <v>10138</v>
      </c>
      <c r="B9823" t="s">
        <v>30</v>
      </c>
      <c r="C9823">
        <v>7648876604</v>
      </c>
      <c r="D9823" s="2">
        <v>1</v>
      </c>
      <c r="E9823" t="str">
        <f>"4574674200881399"</f>
        <v>4574674200881399</v>
      </c>
      <c r="F9823" t="str">
        <f>"398"</f>
        <v>398</v>
      </c>
      <c r="G9823">
        <v>1</v>
      </c>
      <c r="H9823">
        <v>2023</v>
      </c>
      <c r="I9823" t="s">
        <v>9938</v>
      </c>
    </row>
    <row r="9824" spans="1:9" x14ac:dyDescent="0.3">
      <c r="A9824" t="s">
        <v>10138</v>
      </c>
      <c r="B9824" t="s">
        <v>30</v>
      </c>
      <c r="C9824">
        <v>7648876604</v>
      </c>
      <c r="D9824" s="2">
        <v>1</v>
      </c>
      <c r="E9824" t="str">
        <f>"4574674200881191"</f>
        <v>4574674200881191</v>
      </c>
      <c r="F9824" t="str">
        <f>"168"</f>
        <v>168</v>
      </c>
      <c r="G9824">
        <v>1</v>
      </c>
      <c r="H9824">
        <v>2023</v>
      </c>
      <c r="I9824" t="s">
        <v>9939</v>
      </c>
    </row>
    <row r="9825" spans="1:9" x14ac:dyDescent="0.3">
      <c r="A9825" t="s">
        <v>10140</v>
      </c>
      <c r="B9825" t="s">
        <v>32</v>
      </c>
      <c r="C9825">
        <v>7648876604</v>
      </c>
      <c r="D9825" s="2">
        <v>1</v>
      </c>
      <c r="E9825" t="str">
        <f>"4574674200881183"</f>
        <v>4574674200881183</v>
      </c>
      <c r="F9825" t="str">
        <f>"725"</f>
        <v>725</v>
      </c>
      <c r="G9825">
        <v>1</v>
      </c>
      <c r="H9825">
        <v>2023</v>
      </c>
      <c r="I9825" t="s">
        <v>9940</v>
      </c>
    </row>
    <row r="9826" spans="1:9" x14ac:dyDescent="0.3">
      <c r="A9826" t="s">
        <v>10140</v>
      </c>
      <c r="B9826" t="s">
        <v>32</v>
      </c>
      <c r="C9826">
        <v>7648876604</v>
      </c>
      <c r="D9826" s="2">
        <v>1</v>
      </c>
      <c r="E9826" t="str">
        <f>"4574674200881589"</f>
        <v>4574674200881589</v>
      </c>
      <c r="F9826" t="str">
        <f>"955"</f>
        <v>955</v>
      </c>
      <c r="G9826">
        <v>1</v>
      </c>
      <c r="H9826">
        <v>2023</v>
      </c>
      <c r="I9826" t="s">
        <v>9941</v>
      </c>
    </row>
    <row r="9827" spans="1:9" x14ac:dyDescent="0.3">
      <c r="A9827" t="s">
        <v>10140</v>
      </c>
      <c r="B9827" t="s">
        <v>32</v>
      </c>
      <c r="C9827">
        <v>7648876604</v>
      </c>
      <c r="D9827" s="2">
        <v>1</v>
      </c>
      <c r="E9827" t="str">
        <f>"4574674200881654"</f>
        <v>4574674200881654</v>
      </c>
      <c r="F9827" t="str">
        <f>"269"</f>
        <v>269</v>
      </c>
      <c r="G9827">
        <v>1</v>
      </c>
      <c r="H9827">
        <v>2023</v>
      </c>
      <c r="I9827" t="s">
        <v>9942</v>
      </c>
    </row>
    <row r="9828" spans="1:9" x14ac:dyDescent="0.3">
      <c r="A9828" t="s">
        <v>10140</v>
      </c>
      <c r="B9828" t="s">
        <v>32</v>
      </c>
      <c r="C9828">
        <v>7648876604</v>
      </c>
      <c r="D9828" s="2">
        <v>1</v>
      </c>
      <c r="E9828" t="str">
        <f>"4574674200881662"</f>
        <v>4574674200881662</v>
      </c>
      <c r="F9828" t="str">
        <f>"605"</f>
        <v>605</v>
      </c>
      <c r="G9828">
        <v>1</v>
      </c>
      <c r="H9828">
        <v>2023</v>
      </c>
      <c r="I9828" t="s">
        <v>9943</v>
      </c>
    </row>
    <row r="9829" spans="1:9" x14ac:dyDescent="0.3">
      <c r="A9829" t="s">
        <v>10140</v>
      </c>
      <c r="B9829" t="s">
        <v>32</v>
      </c>
      <c r="C9829">
        <v>7648876604</v>
      </c>
      <c r="D9829" s="2">
        <v>1</v>
      </c>
      <c r="E9829" t="str">
        <f>"4574674200881670"</f>
        <v>4574674200881670</v>
      </c>
      <c r="F9829" t="str">
        <f>"619"</f>
        <v>619</v>
      </c>
      <c r="G9829">
        <v>1</v>
      </c>
      <c r="H9829">
        <v>2023</v>
      </c>
      <c r="I9829" t="s">
        <v>9944</v>
      </c>
    </row>
    <row r="9830" spans="1:9" x14ac:dyDescent="0.3">
      <c r="A9830" t="s">
        <v>10140</v>
      </c>
      <c r="B9830" t="s">
        <v>32</v>
      </c>
      <c r="C9830">
        <v>7648876604</v>
      </c>
      <c r="D9830" s="2">
        <v>1</v>
      </c>
      <c r="E9830" t="str">
        <f>"4574674200881696"</f>
        <v>4574674200881696</v>
      </c>
      <c r="F9830" t="str">
        <f>"154"</f>
        <v>154</v>
      </c>
      <c r="G9830">
        <v>1</v>
      </c>
      <c r="H9830">
        <v>2023</v>
      </c>
      <c r="I9830" t="s">
        <v>9945</v>
      </c>
    </row>
    <row r="9831" spans="1:9" x14ac:dyDescent="0.3">
      <c r="A9831" t="s">
        <v>10140</v>
      </c>
      <c r="B9831" t="s">
        <v>32</v>
      </c>
      <c r="C9831">
        <v>7648876604</v>
      </c>
      <c r="D9831" s="2">
        <v>1</v>
      </c>
      <c r="E9831" t="str">
        <f>"4574674200881704"</f>
        <v>4574674200881704</v>
      </c>
      <c r="F9831" t="str">
        <f>"165"</f>
        <v>165</v>
      </c>
      <c r="G9831">
        <v>1</v>
      </c>
      <c r="H9831">
        <v>2023</v>
      </c>
      <c r="I9831" t="s">
        <v>9946</v>
      </c>
    </row>
    <row r="9832" spans="1:9" x14ac:dyDescent="0.3">
      <c r="A9832" t="s">
        <v>10140</v>
      </c>
      <c r="B9832" t="s">
        <v>32</v>
      </c>
      <c r="C9832">
        <v>7648876604</v>
      </c>
      <c r="D9832" s="2">
        <v>1</v>
      </c>
      <c r="E9832" t="str">
        <f>"4574674200881712"</f>
        <v>4574674200881712</v>
      </c>
      <c r="F9832" t="str">
        <f>"570"</f>
        <v>570</v>
      </c>
      <c r="G9832">
        <v>1</v>
      </c>
      <c r="H9832">
        <v>2023</v>
      </c>
      <c r="I9832" t="s">
        <v>9947</v>
      </c>
    </row>
    <row r="9833" spans="1:9" x14ac:dyDescent="0.3">
      <c r="A9833" t="s">
        <v>10140</v>
      </c>
      <c r="B9833" t="s">
        <v>32</v>
      </c>
      <c r="C9833">
        <v>7648876604</v>
      </c>
      <c r="D9833" s="2">
        <v>1</v>
      </c>
      <c r="E9833" t="str">
        <f>"4574674200881928"</f>
        <v>4574674200881928</v>
      </c>
      <c r="F9833" t="str">
        <f>"070"</f>
        <v>070</v>
      </c>
      <c r="G9833">
        <v>1</v>
      </c>
      <c r="H9833">
        <v>2023</v>
      </c>
      <c r="I9833" t="s">
        <v>9948</v>
      </c>
    </row>
    <row r="9834" spans="1:9" x14ac:dyDescent="0.3">
      <c r="A9834" t="s">
        <v>10140</v>
      </c>
      <c r="B9834" t="s">
        <v>32</v>
      </c>
      <c r="C9834">
        <v>7648876604</v>
      </c>
      <c r="D9834" s="2">
        <v>1</v>
      </c>
      <c r="E9834" t="str">
        <f>"4574674200881746"</f>
        <v>4574674200881746</v>
      </c>
      <c r="F9834" t="str">
        <f>"045"</f>
        <v>045</v>
      </c>
      <c r="G9834">
        <v>1</v>
      </c>
      <c r="H9834">
        <v>2023</v>
      </c>
      <c r="I9834" t="s">
        <v>9949</v>
      </c>
    </row>
    <row r="9835" spans="1:9" x14ac:dyDescent="0.3">
      <c r="A9835" t="s">
        <v>10141</v>
      </c>
      <c r="B9835" t="s">
        <v>33</v>
      </c>
      <c r="C9835">
        <v>7648876604</v>
      </c>
      <c r="D9835" s="2">
        <v>1</v>
      </c>
      <c r="E9835" t="str">
        <f>"4574674200881753"</f>
        <v>4574674200881753</v>
      </c>
      <c r="F9835" t="str">
        <f>"365"</f>
        <v>365</v>
      </c>
      <c r="G9835">
        <v>1</v>
      </c>
      <c r="H9835">
        <v>2023</v>
      </c>
      <c r="I9835" t="s">
        <v>9950</v>
      </c>
    </row>
    <row r="9836" spans="1:9" x14ac:dyDescent="0.3">
      <c r="A9836" t="s">
        <v>10141</v>
      </c>
      <c r="B9836" t="s">
        <v>33</v>
      </c>
      <c r="C9836">
        <v>7648876604</v>
      </c>
      <c r="D9836" s="2">
        <v>1</v>
      </c>
      <c r="E9836" t="str">
        <f>"4574674200881787"</f>
        <v>4574674200881787</v>
      </c>
      <c r="F9836" t="str">
        <f>"670"</f>
        <v>670</v>
      </c>
      <c r="G9836">
        <v>1</v>
      </c>
      <c r="H9836">
        <v>2023</v>
      </c>
      <c r="I9836" t="s">
        <v>9951</v>
      </c>
    </row>
    <row r="9837" spans="1:9" x14ac:dyDescent="0.3">
      <c r="A9837" t="s">
        <v>10141</v>
      </c>
      <c r="B9837" t="s">
        <v>33</v>
      </c>
      <c r="C9837">
        <v>7648876604</v>
      </c>
      <c r="D9837" s="2">
        <v>1</v>
      </c>
      <c r="E9837" t="str">
        <f>"4574674200882074"</f>
        <v>4574674200882074</v>
      </c>
      <c r="F9837" t="str">
        <f>"846"</f>
        <v>846</v>
      </c>
      <c r="G9837">
        <v>1</v>
      </c>
      <c r="H9837">
        <v>2023</v>
      </c>
      <c r="I9837" t="s">
        <v>9952</v>
      </c>
    </row>
    <row r="9838" spans="1:9" x14ac:dyDescent="0.3">
      <c r="A9838" t="s">
        <v>10141</v>
      </c>
      <c r="B9838" t="s">
        <v>33</v>
      </c>
      <c r="C9838">
        <v>7648876604</v>
      </c>
      <c r="D9838" s="2">
        <v>1</v>
      </c>
      <c r="E9838" t="str">
        <f>"4574674200882215"</f>
        <v>4574674200882215</v>
      </c>
      <c r="F9838" t="str">
        <f>"380"</f>
        <v>380</v>
      </c>
      <c r="G9838">
        <v>1</v>
      </c>
      <c r="H9838">
        <v>2023</v>
      </c>
      <c r="I9838" t="s">
        <v>9953</v>
      </c>
    </row>
    <row r="9839" spans="1:9" x14ac:dyDescent="0.3">
      <c r="A9839" t="s">
        <v>10141</v>
      </c>
      <c r="B9839" t="s">
        <v>33</v>
      </c>
      <c r="C9839">
        <v>7648876604</v>
      </c>
      <c r="D9839" s="2">
        <v>1</v>
      </c>
      <c r="E9839" t="str">
        <f>"4574674200882223"</f>
        <v>4574674200882223</v>
      </c>
      <c r="F9839" t="str">
        <f>"675"</f>
        <v>675</v>
      </c>
      <c r="G9839">
        <v>1</v>
      </c>
      <c r="H9839">
        <v>2023</v>
      </c>
      <c r="I9839" t="s">
        <v>9954</v>
      </c>
    </row>
    <row r="9840" spans="1:9" x14ac:dyDescent="0.3">
      <c r="A9840" t="s">
        <v>10141</v>
      </c>
      <c r="B9840" t="s">
        <v>33</v>
      </c>
      <c r="C9840">
        <v>7648876604</v>
      </c>
      <c r="D9840" s="2">
        <v>1</v>
      </c>
      <c r="E9840" t="str">
        <f>"4574674200882231"</f>
        <v>4574674200882231</v>
      </c>
      <c r="F9840" t="str">
        <f>"462"</f>
        <v>462</v>
      </c>
      <c r="G9840">
        <v>1</v>
      </c>
      <c r="H9840">
        <v>2023</v>
      </c>
      <c r="I9840" t="s">
        <v>9955</v>
      </c>
    </row>
    <row r="9841" spans="1:9" x14ac:dyDescent="0.3">
      <c r="A9841" t="s">
        <v>10141</v>
      </c>
      <c r="B9841" t="s">
        <v>33</v>
      </c>
      <c r="C9841">
        <v>7648876604</v>
      </c>
      <c r="D9841" s="2">
        <v>1</v>
      </c>
      <c r="E9841" t="str">
        <f>"4574674200882421"</f>
        <v>4574674200882421</v>
      </c>
      <c r="F9841" t="str">
        <f>"192"</f>
        <v>192</v>
      </c>
      <c r="G9841">
        <v>1</v>
      </c>
      <c r="H9841">
        <v>2023</v>
      </c>
      <c r="I9841" t="s">
        <v>9956</v>
      </c>
    </row>
    <row r="9842" spans="1:9" x14ac:dyDescent="0.3">
      <c r="A9842" t="s">
        <v>10141</v>
      </c>
      <c r="B9842" t="s">
        <v>33</v>
      </c>
      <c r="C9842">
        <v>7648876604</v>
      </c>
      <c r="D9842" s="2">
        <v>1</v>
      </c>
      <c r="E9842" t="str">
        <f>"4574674200882272"</f>
        <v>4574674200882272</v>
      </c>
      <c r="F9842" t="str">
        <f>"701"</f>
        <v>701</v>
      </c>
      <c r="G9842">
        <v>1</v>
      </c>
      <c r="H9842">
        <v>2023</v>
      </c>
      <c r="I9842" t="s">
        <v>9957</v>
      </c>
    </row>
    <row r="9843" spans="1:9" x14ac:dyDescent="0.3">
      <c r="A9843" t="s">
        <v>10141</v>
      </c>
      <c r="B9843" t="s">
        <v>33</v>
      </c>
      <c r="C9843">
        <v>7648876604</v>
      </c>
      <c r="D9843" s="2">
        <v>1</v>
      </c>
      <c r="E9843" t="str">
        <f>"4574674200882264"</f>
        <v>4574674200882264</v>
      </c>
      <c r="F9843" t="str">
        <f>"480"</f>
        <v>480</v>
      </c>
      <c r="G9843">
        <v>1</v>
      </c>
      <c r="H9843">
        <v>2023</v>
      </c>
      <c r="I9843" t="s">
        <v>9958</v>
      </c>
    </row>
    <row r="9844" spans="1:9" x14ac:dyDescent="0.3">
      <c r="A9844" t="s">
        <v>10141</v>
      </c>
      <c r="B9844" t="s">
        <v>33</v>
      </c>
      <c r="C9844">
        <v>7648876604</v>
      </c>
      <c r="D9844" s="2">
        <v>1</v>
      </c>
      <c r="E9844" t="str">
        <f>"4574674200882306"</f>
        <v>4574674200882306</v>
      </c>
      <c r="F9844" t="str">
        <f>"292"</f>
        <v>292</v>
      </c>
      <c r="G9844">
        <v>1</v>
      </c>
      <c r="H9844">
        <v>2023</v>
      </c>
      <c r="I9844" t="s">
        <v>9959</v>
      </c>
    </row>
    <row r="9845" spans="1:9" x14ac:dyDescent="0.3">
      <c r="A9845" t="s">
        <v>10142</v>
      </c>
      <c r="B9845" t="s">
        <v>34</v>
      </c>
      <c r="C9845">
        <v>7648876604</v>
      </c>
      <c r="D9845" s="2">
        <v>1</v>
      </c>
      <c r="E9845" t="str">
        <f>"4574674200882587"</f>
        <v>4574674200882587</v>
      </c>
      <c r="F9845" t="str">
        <f>"735"</f>
        <v>735</v>
      </c>
      <c r="G9845">
        <v>1</v>
      </c>
      <c r="H9845">
        <v>2023</v>
      </c>
      <c r="I9845" t="s">
        <v>9960</v>
      </c>
    </row>
    <row r="9846" spans="1:9" x14ac:dyDescent="0.3">
      <c r="A9846" t="s">
        <v>10142</v>
      </c>
      <c r="B9846" t="s">
        <v>34</v>
      </c>
      <c r="C9846">
        <v>7648876604</v>
      </c>
      <c r="D9846" s="2">
        <v>1</v>
      </c>
      <c r="E9846" t="str">
        <f>"4574674200882330"</f>
        <v>4574674200882330</v>
      </c>
      <c r="F9846" t="str">
        <f>"881"</f>
        <v>881</v>
      </c>
      <c r="G9846">
        <v>1</v>
      </c>
      <c r="H9846">
        <v>2023</v>
      </c>
      <c r="I9846" t="s">
        <v>9961</v>
      </c>
    </row>
    <row r="9847" spans="1:9" x14ac:dyDescent="0.3">
      <c r="A9847" t="s">
        <v>10142</v>
      </c>
      <c r="B9847" t="s">
        <v>34</v>
      </c>
      <c r="C9847">
        <v>7648876604</v>
      </c>
      <c r="D9847" s="2">
        <v>1</v>
      </c>
      <c r="E9847" t="str">
        <f>"4574674200882322"</f>
        <v>4574674200882322</v>
      </c>
      <c r="F9847" t="str">
        <f>"748"</f>
        <v>748</v>
      </c>
      <c r="G9847">
        <v>1</v>
      </c>
      <c r="H9847">
        <v>2023</v>
      </c>
      <c r="I9847" t="s">
        <v>9962</v>
      </c>
    </row>
    <row r="9848" spans="1:9" x14ac:dyDescent="0.3">
      <c r="A9848" t="s">
        <v>10142</v>
      </c>
      <c r="B9848" t="s">
        <v>34</v>
      </c>
      <c r="C9848">
        <v>7648876604</v>
      </c>
      <c r="D9848" s="2">
        <v>1</v>
      </c>
      <c r="E9848" t="str">
        <f>"4574674200882355"</f>
        <v>4574674200882355</v>
      </c>
      <c r="F9848" t="str">
        <f>"443"</f>
        <v>443</v>
      </c>
      <c r="G9848">
        <v>1</v>
      </c>
      <c r="H9848">
        <v>2023</v>
      </c>
      <c r="I9848" t="s">
        <v>9963</v>
      </c>
    </row>
    <row r="9849" spans="1:9" x14ac:dyDescent="0.3">
      <c r="A9849" t="s">
        <v>10142</v>
      </c>
      <c r="B9849" t="s">
        <v>34</v>
      </c>
      <c r="C9849">
        <v>7648876604</v>
      </c>
      <c r="D9849" s="2">
        <v>1</v>
      </c>
      <c r="E9849" t="str">
        <f>"4574674200882751"</f>
        <v>4574674200882751</v>
      </c>
      <c r="F9849" t="str">
        <f>"749"</f>
        <v>749</v>
      </c>
      <c r="G9849">
        <v>1</v>
      </c>
      <c r="H9849">
        <v>2023</v>
      </c>
      <c r="I9849" t="s">
        <v>9964</v>
      </c>
    </row>
    <row r="9850" spans="1:9" x14ac:dyDescent="0.3">
      <c r="A9850" t="s">
        <v>10142</v>
      </c>
      <c r="B9850" t="s">
        <v>34</v>
      </c>
      <c r="C9850">
        <v>7648876604</v>
      </c>
      <c r="D9850" s="2">
        <v>1</v>
      </c>
      <c r="E9850" t="str">
        <f>"4574674200882389"</f>
        <v>4574674200882389</v>
      </c>
      <c r="F9850" t="str">
        <f>"255"</f>
        <v>255</v>
      </c>
      <c r="G9850">
        <v>1</v>
      </c>
      <c r="H9850">
        <v>2023</v>
      </c>
      <c r="I9850" t="s">
        <v>9965</v>
      </c>
    </row>
    <row r="9851" spans="1:9" x14ac:dyDescent="0.3">
      <c r="A9851" t="s">
        <v>10142</v>
      </c>
      <c r="B9851" t="s">
        <v>34</v>
      </c>
      <c r="C9851">
        <v>7648876604</v>
      </c>
      <c r="D9851" s="2">
        <v>1</v>
      </c>
      <c r="E9851" t="str">
        <f>"4574674200882827"</f>
        <v>4574674200882827</v>
      </c>
      <c r="F9851" t="str">
        <f>"426"</f>
        <v>426</v>
      </c>
      <c r="G9851">
        <v>1</v>
      </c>
      <c r="H9851">
        <v>2023</v>
      </c>
      <c r="I9851" t="s">
        <v>9966</v>
      </c>
    </row>
    <row r="9852" spans="1:9" x14ac:dyDescent="0.3">
      <c r="A9852" t="s">
        <v>10142</v>
      </c>
      <c r="B9852" t="s">
        <v>34</v>
      </c>
      <c r="C9852">
        <v>7648876604</v>
      </c>
      <c r="D9852" s="2">
        <v>1</v>
      </c>
      <c r="E9852" t="str">
        <f>"4574674200882843"</f>
        <v>4574674200882843</v>
      </c>
      <c r="F9852" t="str">
        <f>"186"</f>
        <v>186</v>
      </c>
      <c r="G9852">
        <v>1</v>
      </c>
      <c r="H9852">
        <v>2023</v>
      </c>
      <c r="I9852" t="s">
        <v>9967</v>
      </c>
    </row>
    <row r="9853" spans="1:9" x14ac:dyDescent="0.3">
      <c r="A9853" t="s">
        <v>10142</v>
      </c>
      <c r="B9853" t="s">
        <v>34</v>
      </c>
      <c r="C9853">
        <v>7648876604</v>
      </c>
      <c r="D9853" s="2">
        <v>1</v>
      </c>
      <c r="E9853" t="str">
        <f>"4574674200882850"</f>
        <v>4574674200882850</v>
      </c>
      <c r="F9853" t="str">
        <f>"765"</f>
        <v>765</v>
      </c>
      <c r="G9853">
        <v>1</v>
      </c>
      <c r="H9853">
        <v>2023</v>
      </c>
      <c r="I9853" t="s">
        <v>9968</v>
      </c>
    </row>
    <row r="9854" spans="1:9" x14ac:dyDescent="0.3">
      <c r="A9854" t="s">
        <v>10142</v>
      </c>
      <c r="B9854" t="s">
        <v>34</v>
      </c>
      <c r="C9854">
        <v>7648876604</v>
      </c>
      <c r="D9854" s="2">
        <v>1</v>
      </c>
      <c r="E9854" t="str">
        <f>"4574674200882876"</f>
        <v>4574674200882876</v>
      </c>
      <c r="F9854" t="str">
        <f>"287"</f>
        <v>287</v>
      </c>
      <c r="G9854">
        <v>1</v>
      </c>
      <c r="H9854">
        <v>2023</v>
      </c>
      <c r="I9854" t="s">
        <v>9969</v>
      </c>
    </row>
    <row r="9855" spans="1:9" x14ac:dyDescent="0.3">
      <c r="A9855" t="s">
        <v>10143</v>
      </c>
      <c r="B9855" t="s">
        <v>35</v>
      </c>
      <c r="C9855">
        <v>7648876604</v>
      </c>
      <c r="D9855" s="2">
        <v>1</v>
      </c>
      <c r="E9855" t="str">
        <f>"4574674200883254"</f>
        <v>4574674200883254</v>
      </c>
      <c r="F9855" t="str">
        <f>"156"</f>
        <v>156</v>
      </c>
      <c r="G9855">
        <v>1</v>
      </c>
      <c r="H9855">
        <v>2023</v>
      </c>
      <c r="I9855" t="s">
        <v>9970</v>
      </c>
    </row>
    <row r="9856" spans="1:9" x14ac:dyDescent="0.3">
      <c r="A9856" t="s">
        <v>10143</v>
      </c>
      <c r="B9856" t="s">
        <v>35</v>
      </c>
      <c r="C9856">
        <v>7648876604</v>
      </c>
      <c r="D9856" s="2">
        <v>1</v>
      </c>
      <c r="E9856" t="str">
        <f>"4574674200882900"</f>
        <v>4574674200882900</v>
      </c>
      <c r="F9856" t="str">
        <f>"791"</f>
        <v>791</v>
      </c>
      <c r="G9856">
        <v>1</v>
      </c>
      <c r="H9856">
        <v>2023</v>
      </c>
      <c r="I9856" t="s">
        <v>9971</v>
      </c>
    </row>
    <row r="9857" spans="1:9" x14ac:dyDescent="0.3">
      <c r="A9857" t="s">
        <v>10143</v>
      </c>
      <c r="B9857" t="s">
        <v>35</v>
      </c>
      <c r="C9857">
        <v>7648876604</v>
      </c>
      <c r="D9857" s="2">
        <v>1</v>
      </c>
      <c r="E9857" t="str">
        <f>"4574674200882918"</f>
        <v>4574674200882918</v>
      </c>
      <c r="F9857" t="str">
        <f>"953"</f>
        <v>953</v>
      </c>
      <c r="G9857">
        <v>1</v>
      </c>
      <c r="H9857">
        <v>2023</v>
      </c>
      <c r="I9857" t="s">
        <v>9972</v>
      </c>
    </row>
    <row r="9858" spans="1:9" x14ac:dyDescent="0.3">
      <c r="A9858" t="s">
        <v>10143</v>
      </c>
      <c r="B9858" t="s">
        <v>35</v>
      </c>
      <c r="C9858">
        <v>7648876604</v>
      </c>
      <c r="D9858" s="2">
        <v>1</v>
      </c>
      <c r="E9858" t="str">
        <f>"4574674200882942"</f>
        <v>4574674200882942</v>
      </c>
      <c r="F9858" t="str">
        <f>"163"</f>
        <v>163</v>
      </c>
      <c r="G9858">
        <v>1</v>
      </c>
      <c r="H9858">
        <v>2023</v>
      </c>
      <c r="I9858" t="s">
        <v>9973</v>
      </c>
    </row>
    <row r="9859" spans="1:9" x14ac:dyDescent="0.3">
      <c r="A9859" t="s">
        <v>10143</v>
      </c>
      <c r="B9859" t="s">
        <v>35</v>
      </c>
      <c r="C9859">
        <v>7648876604</v>
      </c>
      <c r="D9859" s="2">
        <v>1</v>
      </c>
      <c r="E9859" t="str">
        <f>"4574674200883411"</f>
        <v>4574674200883411</v>
      </c>
      <c r="F9859" t="str">
        <f>"772"</f>
        <v>772</v>
      </c>
      <c r="G9859">
        <v>1</v>
      </c>
      <c r="H9859">
        <v>2023</v>
      </c>
      <c r="I9859" t="s">
        <v>9974</v>
      </c>
    </row>
    <row r="9860" spans="1:9" x14ac:dyDescent="0.3">
      <c r="A9860" t="s">
        <v>10143</v>
      </c>
      <c r="B9860" t="s">
        <v>35</v>
      </c>
      <c r="C9860">
        <v>7648876604</v>
      </c>
      <c r="D9860" s="2">
        <v>1</v>
      </c>
      <c r="E9860" t="str">
        <f>"4574674200882983"</f>
        <v>4574674200882983</v>
      </c>
      <c r="F9860" t="str">
        <f>"699"</f>
        <v>699</v>
      </c>
      <c r="G9860">
        <v>1</v>
      </c>
      <c r="H9860">
        <v>2023</v>
      </c>
      <c r="I9860" t="s">
        <v>9975</v>
      </c>
    </row>
    <row r="9861" spans="1:9" x14ac:dyDescent="0.3">
      <c r="A9861" t="s">
        <v>10143</v>
      </c>
      <c r="B9861" t="s">
        <v>35</v>
      </c>
      <c r="C9861">
        <v>7648876604</v>
      </c>
      <c r="D9861" s="2">
        <v>1</v>
      </c>
      <c r="E9861" t="str">
        <f>"4574674200882975"</f>
        <v>4574674200882975</v>
      </c>
      <c r="F9861" t="str">
        <f>"569"</f>
        <v>569</v>
      </c>
      <c r="G9861">
        <v>1</v>
      </c>
      <c r="H9861">
        <v>2023</v>
      </c>
      <c r="I9861" t="s">
        <v>9976</v>
      </c>
    </row>
    <row r="9862" spans="1:9" x14ac:dyDescent="0.3">
      <c r="A9862" t="s">
        <v>10143</v>
      </c>
      <c r="B9862" t="s">
        <v>35</v>
      </c>
      <c r="C9862">
        <v>7648876604</v>
      </c>
      <c r="D9862" s="2">
        <v>1</v>
      </c>
      <c r="E9862" t="str">
        <f>"4574674200883601"</f>
        <v>4574674200883601</v>
      </c>
      <c r="F9862" t="str">
        <f>"716"</f>
        <v>716</v>
      </c>
      <c r="G9862">
        <v>1</v>
      </c>
      <c r="H9862">
        <v>2023</v>
      </c>
      <c r="I9862" t="s">
        <v>9977</v>
      </c>
    </row>
    <row r="9863" spans="1:9" x14ac:dyDescent="0.3">
      <c r="A9863" t="s">
        <v>10143</v>
      </c>
      <c r="B9863" t="s">
        <v>35</v>
      </c>
      <c r="C9863">
        <v>7648876604</v>
      </c>
      <c r="D9863" s="2">
        <v>1</v>
      </c>
      <c r="E9863" t="str">
        <f>"4574674200883635"</f>
        <v>4574674200883635</v>
      </c>
      <c r="F9863" t="str">
        <f>"749"</f>
        <v>749</v>
      </c>
      <c r="G9863">
        <v>1</v>
      </c>
      <c r="H9863">
        <v>2023</v>
      </c>
      <c r="I9863" t="s">
        <v>9978</v>
      </c>
    </row>
    <row r="9864" spans="1:9" x14ac:dyDescent="0.3">
      <c r="A9864" t="s">
        <v>10143</v>
      </c>
      <c r="B9864" t="s">
        <v>35</v>
      </c>
      <c r="C9864">
        <v>7648876604</v>
      </c>
      <c r="D9864" s="2">
        <v>1</v>
      </c>
      <c r="E9864" t="str">
        <f>"4574674200883619"</f>
        <v>4574674200883619</v>
      </c>
      <c r="F9864" t="str">
        <f>"189"</f>
        <v>189</v>
      </c>
      <c r="G9864">
        <v>1</v>
      </c>
      <c r="H9864">
        <v>2023</v>
      </c>
      <c r="I9864" t="s">
        <v>9979</v>
      </c>
    </row>
    <row r="9865" spans="1:9" x14ac:dyDescent="0.3">
      <c r="A9865" t="s">
        <v>10144</v>
      </c>
      <c r="B9865" t="s">
        <v>36</v>
      </c>
      <c r="C9865">
        <v>7648876604</v>
      </c>
      <c r="D9865" s="2">
        <v>1</v>
      </c>
      <c r="E9865" t="str">
        <f>"4574674200883643"</f>
        <v>4574674200883643</v>
      </c>
      <c r="F9865" t="str">
        <f>"036"</f>
        <v>036</v>
      </c>
      <c r="G9865">
        <v>1</v>
      </c>
      <c r="H9865">
        <v>2023</v>
      </c>
      <c r="I9865" t="s">
        <v>9980</v>
      </c>
    </row>
    <row r="9866" spans="1:9" x14ac:dyDescent="0.3">
      <c r="A9866" t="s">
        <v>10144</v>
      </c>
      <c r="B9866" t="s">
        <v>36</v>
      </c>
      <c r="C9866">
        <v>7648876604</v>
      </c>
      <c r="D9866" s="2">
        <v>1</v>
      </c>
      <c r="E9866" t="str">
        <f>"4574674200883577"</f>
        <v>4574674200883577</v>
      </c>
      <c r="F9866" t="str">
        <f>"900"</f>
        <v>900</v>
      </c>
      <c r="G9866">
        <v>1</v>
      </c>
      <c r="H9866">
        <v>2023</v>
      </c>
      <c r="I9866" t="s">
        <v>9981</v>
      </c>
    </row>
    <row r="9867" spans="1:9" x14ac:dyDescent="0.3">
      <c r="A9867" t="s">
        <v>10144</v>
      </c>
      <c r="B9867" t="s">
        <v>36</v>
      </c>
      <c r="C9867">
        <v>7648876604</v>
      </c>
      <c r="D9867" s="2">
        <v>1</v>
      </c>
      <c r="E9867" t="str">
        <f>"4574674200883684"</f>
        <v>4574674200883684</v>
      </c>
      <c r="F9867" t="str">
        <f>"368"</f>
        <v>368</v>
      </c>
      <c r="G9867">
        <v>1</v>
      </c>
      <c r="H9867">
        <v>2023</v>
      </c>
      <c r="I9867" t="s">
        <v>9982</v>
      </c>
    </row>
    <row r="9868" spans="1:9" x14ac:dyDescent="0.3">
      <c r="A9868" t="s">
        <v>10144</v>
      </c>
      <c r="B9868" t="s">
        <v>36</v>
      </c>
      <c r="C9868">
        <v>7648876604</v>
      </c>
      <c r="D9868" s="2">
        <v>1</v>
      </c>
      <c r="E9868" t="str">
        <f>"4574674200883718"</f>
        <v>4574674200883718</v>
      </c>
      <c r="F9868" t="str">
        <f>"465"</f>
        <v>465</v>
      </c>
      <c r="G9868">
        <v>1</v>
      </c>
      <c r="H9868">
        <v>2023</v>
      </c>
      <c r="I9868" t="s">
        <v>9983</v>
      </c>
    </row>
    <row r="9869" spans="1:9" x14ac:dyDescent="0.3">
      <c r="A9869" t="s">
        <v>10144</v>
      </c>
      <c r="B9869" t="s">
        <v>36</v>
      </c>
      <c r="C9869">
        <v>7648876604</v>
      </c>
      <c r="D9869" s="2">
        <v>1</v>
      </c>
      <c r="E9869" t="str">
        <f>"4574674200883957"</f>
        <v>4574674200883957</v>
      </c>
      <c r="F9869" t="str">
        <f>"136"</f>
        <v>136</v>
      </c>
      <c r="G9869">
        <v>1</v>
      </c>
      <c r="H9869">
        <v>2023</v>
      </c>
      <c r="I9869" t="s">
        <v>9984</v>
      </c>
    </row>
    <row r="9870" spans="1:9" x14ac:dyDescent="0.3">
      <c r="A9870" t="s">
        <v>10144</v>
      </c>
      <c r="B9870" t="s">
        <v>36</v>
      </c>
      <c r="C9870">
        <v>7648876604</v>
      </c>
      <c r="D9870" s="2">
        <v>1</v>
      </c>
      <c r="E9870" t="str">
        <f>"4574674200883726"</f>
        <v>4574674200883726</v>
      </c>
      <c r="F9870" t="str">
        <f>"990"</f>
        <v>990</v>
      </c>
      <c r="G9870">
        <v>1</v>
      </c>
      <c r="H9870">
        <v>2023</v>
      </c>
      <c r="I9870" t="s">
        <v>9985</v>
      </c>
    </row>
    <row r="9871" spans="1:9" x14ac:dyDescent="0.3">
      <c r="A9871" t="s">
        <v>10144</v>
      </c>
      <c r="B9871" t="s">
        <v>36</v>
      </c>
      <c r="C9871">
        <v>7648876604</v>
      </c>
      <c r="D9871" s="2">
        <v>1</v>
      </c>
      <c r="E9871" t="str">
        <f>"4574674200883734"</f>
        <v>4574674200883734</v>
      </c>
      <c r="F9871" t="str">
        <f>"378"</f>
        <v>378</v>
      </c>
      <c r="G9871">
        <v>1</v>
      </c>
      <c r="H9871">
        <v>2023</v>
      </c>
      <c r="I9871" t="s">
        <v>9986</v>
      </c>
    </row>
    <row r="9872" spans="1:9" x14ac:dyDescent="0.3">
      <c r="A9872" t="s">
        <v>10144</v>
      </c>
      <c r="B9872" t="s">
        <v>36</v>
      </c>
      <c r="C9872">
        <v>7648876604</v>
      </c>
      <c r="D9872" s="2">
        <v>1</v>
      </c>
      <c r="E9872" t="str">
        <f>"4574674200883742"</f>
        <v>4574674200883742</v>
      </c>
      <c r="F9872" t="str">
        <f>"739"</f>
        <v>739</v>
      </c>
      <c r="G9872">
        <v>1</v>
      </c>
      <c r="H9872">
        <v>2023</v>
      </c>
      <c r="I9872" t="s">
        <v>9987</v>
      </c>
    </row>
    <row r="9873" spans="1:9" x14ac:dyDescent="0.3">
      <c r="A9873" t="s">
        <v>10144</v>
      </c>
      <c r="B9873" t="s">
        <v>36</v>
      </c>
      <c r="C9873">
        <v>7648876604</v>
      </c>
      <c r="D9873" s="2">
        <v>1</v>
      </c>
      <c r="E9873" t="str">
        <f>"4574674200883775"</f>
        <v>4574674200883775</v>
      </c>
      <c r="F9873" t="str">
        <f>"356"</f>
        <v>356</v>
      </c>
      <c r="G9873">
        <v>1</v>
      </c>
      <c r="H9873">
        <v>2023</v>
      </c>
      <c r="I9873" t="s">
        <v>9988</v>
      </c>
    </row>
    <row r="9874" spans="1:9" x14ac:dyDescent="0.3">
      <c r="A9874" t="s">
        <v>10144</v>
      </c>
      <c r="B9874" t="s">
        <v>36</v>
      </c>
      <c r="C9874">
        <v>7648876604</v>
      </c>
      <c r="D9874" s="2">
        <v>1</v>
      </c>
      <c r="E9874" t="str">
        <f>"4574674200883791"</f>
        <v>4574674200883791</v>
      </c>
      <c r="F9874" t="str">
        <f>"513"</f>
        <v>513</v>
      </c>
      <c r="G9874">
        <v>1</v>
      </c>
      <c r="H9874">
        <v>2023</v>
      </c>
      <c r="I9874" t="s">
        <v>9989</v>
      </c>
    </row>
    <row r="9875" spans="1:9" x14ac:dyDescent="0.3">
      <c r="A9875" t="s">
        <v>10145</v>
      </c>
      <c r="B9875" t="s">
        <v>37</v>
      </c>
      <c r="C9875">
        <v>7648876604</v>
      </c>
      <c r="D9875" s="2">
        <v>1</v>
      </c>
      <c r="E9875" t="str">
        <f>"4574674200884161"</f>
        <v>4574674200884161</v>
      </c>
      <c r="F9875" t="str">
        <f>"284"</f>
        <v>284</v>
      </c>
      <c r="G9875">
        <v>1</v>
      </c>
      <c r="H9875">
        <v>2023</v>
      </c>
      <c r="I9875" t="s">
        <v>9990</v>
      </c>
    </row>
    <row r="9876" spans="1:9" x14ac:dyDescent="0.3">
      <c r="A9876" t="s">
        <v>10145</v>
      </c>
      <c r="B9876" t="s">
        <v>37</v>
      </c>
      <c r="C9876">
        <v>7648876604</v>
      </c>
      <c r="D9876" s="2">
        <v>1</v>
      </c>
      <c r="E9876" t="str">
        <f>"4574674200884237"</f>
        <v>4574674200884237</v>
      </c>
      <c r="F9876" t="str">
        <f>"442"</f>
        <v>442</v>
      </c>
      <c r="G9876">
        <v>1</v>
      </c>
      <c r="H9876">
        <v>2023</v>
      </c>
      <c r="I9876" t="s">
        <v>9991</v>
      </c>
    </row>
    <row r="9877" spans="1:9" x14ac:dyDescent="0.3">
      <c r="A9877" t="s">
        <v>10145</v>
      </c>
      <c r="B9877" t="s">
        <v>37</v>
      </c>
      <c r="C9877">
        <v>7648876604</v>
      </c>
      <c r="D9877" s="2">
        <v>1</v>
      </c>
      <c r="E9877" t="str">
        <f>"4574674200884252"</f>
        <v>4574674200884252</v>
      </c>
      <c r="F9877" t="str">
        <f>"646"</f>
        <v>646</v>
      </c>
      <c r="G9877">
        <v>1</v>
      </c>
      <c r="H9877">
        <v>2023</v>
      </c>
      <c r="I9877" t="s">
        <v>9992</v>
      </c>
    </row>
    <row r="9878" spans="1:9" x14ac:dyDescent="0.3">
      <c r="A9878" t="s">
        <v>10145</v>
      </c>
      <c r="B9878" t="s">
        <v>37</v>
      </c>
      <c r="C9878">
        <v>7648876604</v>
      </c>
      <c r="D9878" s="2">
        <v>1</v>
      </c>
      <c r="E9878" t="str">
        <f>"4574674200884245"</f>
        <v>4574674200884245</v>
      </c>
      <c r="F9878" t="str">
        <f>"494"</f>
        <v>494</v>
      </c>
      <c r="G9878">
        <v>1</v>
      </c>
      <c r="H9878">
        <v>2023</v>
      </c>
      <c r="I9878" t="s">
        <v>9993</v>
      </c>
    </row>
    <row r="9879" spans="1:9" x14ac:dyDescent="0.3">
      <c r="A9879" t="s">
        <v>10145</v>
      </c>
      <c r="B9879" t="s">
        <v>37</v>
      </c>
      <c r="C9879">
        <v>7648876604</v>
      </c>
      <c r="D9879" s="2">
        <v>1</v>
      </c>
      <c r="E9879" t="str">
        <f>"4574674200884260"</f>
        <v>4574674200884260</v>
      </c>
      <c r="F9879" t="str">
        <f>"348"</f>
        <v>348</v>
      </c>
      <c r="G9879">
        <v>1</v>
      </c>
      <c r="H9879">
        <v>2023</v>
      </c>
      <c r="I9879" t="s">
        <v>9994</v>
      </c>
    </row>
    <row r="9880" spans="1:9" x14ac:dyDescent="0.3">
      <c r="A9880" t="s">
        <v>10145</v>
      </c>
      <c r="B9880" t="s">
        <v>37</v>
      </c>
      <c r="C9880">
        <v>7648876604</v>
      </c>
      <c r="D9880" s="2">
        <v>1</v>
      </c>
      <c r="E9880" t="str">
        <f>"4574674200884286"</f>
        <v>4574674200884286</v>
      </c>
      <c r="F9880" t="str">
        <f>"678"</f>
        <v>678</v>
      </c>
      <c r="G9880">
        <v>1</v>
      </c>
      <c r="H9880">
        <v>2023</v>
      </c>
      <c r="I9880" t="s">
        <v>9995</v>
      </c>
    </row>
    <row r="9881" spans="1:9" x14ac:dyDescent="0.3">
      <c r="A9881" t="s">
        <v>10145</v>
      </c>
      <c r="B9881" t="s">
        <v>37</v>
      </c>
      <c r="C9881">
        <v>7648876604</v>
      </c>
      <c r="D9881" s="2">
        <v>1</v>
      </c>
      <c r="E9881" t="str">
        <f>"4574674200884328"</f>
        <v>4574674200884328</v>
      </c>
      <c r="F9881" t="str">
        <f>"545"</f>
        <v>545</v>
      </c>
      <c r="G9881">
        <v>1</v>
      </c>
      <c r="H9881">
        <v>2023</v>
      </c>
      <c r="I9881" t="s">
        <v>9996</v>
      </c>
    </row>
    <row r="9882" spans="1:9" x14ac:dyDescent="0.3">
      <c r="A9882" t="s">
        <v>10145</v>
      </c>
      <c r="B9882" t="s">
        <v>37</v>
      </c>
      <c r="C9882">
        <v>7648876604</v>
      </c>
      <c r="D9882" s="2">
        <v>1</v>
      </c>
      <c r="E9882" t="str">
        <f>"4574674200884526"</f>
        <v>4574674200884526</v>
      </c>
      <c r="F9882" t="str">
        <f>"596"</f>
        <v>596</v>
      </c>
      <c r="G9882">
        <v>1</v>
      </c>
      <c r="H9882">
        <v>2023</v>
      </c>
      <c r="I9882" t="s">
        <v>9997</v>
      </c>
    </row>
    <row r="9883" spans="1:9" x14ac:dyDescent="0.3">
      <c r="A9883" t="s">
        <v>10145</v>
      </c>
      <c r="B9883" t="s">
        <v>37</v>
      </c>
      <c r="C9883">
        <v>7648876604</v>
      </c>
      <c r="D9883" s="2">
        <v>1</v>
      </c>
      <c r="E9883" t="str">
        <f>"4574674200884369"</f>
        <v>4574674200884369</v>
      </c>
      <c r="F9883" t="str">
        <f>"640"</f>
        <v>640</v>
      </c>
      <c r="G9883">
        <v>1</v>
      </c>
      <c r="H9883">
        <v>2023</v>
      </c>
      <c r="I9883" t="s">
        <v>9998</v>
      </c>
    </row>
    <row r="9884" spans="1:9" x14ac:dyDescent="0.3">
      <c r="A9884" t="s">
        <v>10145</v>
      </c>
      <c r="B9884" t="s">
        <v>37</v>
      </c>
      <c r="C9884">
        <v>7648876604</v>
      </c>
      <c r="D9884" s="2">
        <v>1</v>
      </c>
      <c r="E9884" t="str">
        <f>"4574674200884377"</f>
        <v>4574674200884377</v>
      </c>
      <c r="F9884" t="str">
        <f>"068"</f>
        <v>068</v>
      </c>
      <c r="G9884">
        <v>1</v>
      </c>
      <c r="H9884">
        <v>2023</v>
      </c>
      <c r="I9884" t="s">
        <v>9999</v>
      </c>
    </row>
    <row r="9885" spans="1:9" x14ac:dyDescent="0.3">
      <c r="A9885" t="s">
        <v>10146</v>
      </c>
      <c r="B9885" t="s">
        <v>38</v>
      </c>
      <c r="C9885">
        <v>7648876604</v>
      </c>
      <c r="D9885" s="2">
        <v>1</v>
      </c>
      <c r="E9885" t="str">
        <f>"4574674200884351"</f>
        <v>4574674200884351</v>
      </c>
      <c r="F9885" t="str">
        <f>"571"</f>
        <v>571</v>
      </c>
      <c r="G9885">
        <v>1</v>
      </c>
      <c r="H9885">
        <v>2023</v>
      </c>
      <c r="I9885" t="s">
        <v>10000</v>
      </c>
    </row>
    <row r="9886" spans="1:9" x14ac:dyDescent="0.3">
      <c r="A9886" t="s">
        <v>10146</v>
      </c>
      <c r="B9886" t="s">
        <v>38</v>
      </c>
      <c r="C9886">
        <v>7648876604</v>
      </c>
      <c r="D9886" s="2">
        <v>1</v>
      </c>
      <c r="E9886" t="str">
        <f>"4574674200884385"</f>
        <v>4574674200884385</v>
      </c>
      <c r="F9886" t="str">
        <f>"168"</f>
        <v>168</v>
      </c>
      <c r="G9886">
        <v>1</v>
      </c>
      <c r="H9886">
        <v>2023</v>
      </c>
      <c r="I9886" t="s">
        <v>10001</v>
      </c>
    </row>
    <row r="9887" spans="1:9" x14ac:dyDescent="0.3">
      <c r="A9887" t="s">
        <v>10146</v>
      </c>
      <c r="B9887" t="s">
        <v>38</v>
      </c>
      <c r="C9887">
        <v>7648876604</v>
      </c>
      <c r="D9887" s="2">
        <v>1</v>
      </c>
      <c r="E9887" t="str">
        <f>"4574674200884682"</f>
        <v>4574674200884682</v>
      </c>
      <c r="F9887" t="str">
        <f>"280"</f>
        <v>280</v>
      </c>
      <c r="G9887">
        <v>1</v>
      </c>
      <c r="H9887">
        <v>2023</v>
      </c>
      <c r="I9887" t="s">
        <v>10002</v>
      </c>
    </row>
    <row r="9888" spans="1:9" x14ac:dyDescent="0.3">
      <c r="A9888" t="s">
        <v>10146</v>
      </c>
      <c r="B9888" t="s">
        <v>38</v>
      </c>
      <c r="C9888">
        <v>7648876604</v>
      </c>
      <c r="D9888" s="2">
        <v>1</v>
      </c>
      <c r="E9888" t="str">
        <f>"4574674200884815"</f>
        <v>4574674200884815</v>
      </c>
      <c r="F9888" t="str">
        <f>"786"</f>
        <v>786</v>
      </c>
      <c r="G9888">
        <v>1</v>
      </c>
      <c r="H9888">
        <v>2023</v>
      </c>
      <c r="I9888" t="s">
        <v>10003</v>
      </c>
    </row>
    <row r="9889" spans="1:9" x14ac:dyDescent="0.3">
      <c r="A9889" t="s">
        <v>10146</v>
      </c>
      <c r="B9889" t="s">
        <v>38</v>
      </c>
      <c r="C9889">
        <v>7648876604</v>
      </c>
      <c r="D9889" s="2">
        <v>1</v>
      </c>
      <c r="E9889" t="str">
        <f>"4574674200884849"</f>
        <v>4574674200884849</v>
      </c>
      <c r="F9889" t="str">
        <f>"724"</f>
        <v>724</v>
      </c>
      <c r="G9889">
        <v>1</v>
      </c>
      <c r="H9889">
        <v>2023</v>
      </c>
      <c r="I9889" t="s">
        <v>10004</v>
      </c>
    </row>
    <row r="9890" spans="1:9" x14ac:dyDescent="0.3">
      <c r="A9890" t="s">
        <v>10146</v>
      </c>
      <c r="B9890" t="s">
        <v>38</v>
      </c>
      <c r="C9890">
        <v>7648876604</v>
      </c>
      <c r="D9890" s="2">
        <v>1</v>
      </c>
      <c r="E9890" t="str">
        <f>"4574674200885044"</f>
        <v>4574674200885044</v>
      </c>
      <c r="F9890" t="str">
        <f>"912"</f>
        <v>912</v>
      </c>
      <c r="G9890">
        <v>1</v>
      </c>
      <c r="H9890">
        <v>2023</v>
      </c>
      <c r="I9890" t="s">
        <v>10005</v>
      </c>
    </row>
    <row r="9891" spans="1:9" x14ac:dyDescent="0.3">
      <c r="A9891" t="s">
        <v>10146</v>
      </c>
      <c r="B9891" t="s">
        <v>38</v>
      </c>
      <c r="C9891">
        <v>7648876604</v>
      </c>
      <c r="D9891" s="2">
        <v>1</v>
      </c>
      <c r="E9891" t="str">
        <f>"4574674200884872"</f>
        <v>4574674200884872</v>
      </c>
      <c r="F9891" t="str">
        <f>"754"</f>
        <v>754</v>
      </c>
      <c r="G9891">
        <v>1</v>
      </c>
      <c r="H9891">
        <v>2023</v>
      </c>
      <c r="I9891" t="s">
        <v>10006</v>
      </c>
    </row>
    <row r="9892" spans="1:9" x14ac:dyDescent="0.3">
      <c r="A9892" t="s">
        <v>10146</v>
      </c>
      <c r="B9892" t="s">
        <v>38</v>
      </c>
      <c r="C9892">
        <v>7648876604</v>
      </c>
      <c r="D9892" s="2">
        <v>1</v>
      </c>
      <c r="E9892" t="str">
        <f>"4574674200884880"</f>
        <v>4574674200884880</v>
      </c>
      <c r="F9892" t="str">
        <f>"332"</f>
        <v>332</v>
      </c>
      <c r="G9892">
        <v>1</v>
      </c>
      <c r="H9892">
        <v>2023</v>
      </c>
      <c r="I9892" t="s">
        <v>10007</v>
      </c>
    </row>
    <row r="9893" spans="1:9" x14ac:dyDescent="0.3">
      <c r="A9893" t="s">
        <v>10146</v>
      </c>
      <c r="B9893" t="s">
        <v>38</v>
      </c>
      <c r="C9893">
        <v>7648876604</v>
      </c>
      <c r="D9893" s="2">
        <v>1</v>
      </c>
      <c r="E9893" t="str">
        <f>"4574674200884898"</f>
        <v>4574674200884898</v>
      </c>
      <c r="F9893" t="str">
        <f>"973"</f>
        <v>973</v>
      </c>
      <c r="G9893">
        <v>1</v>
      </c>
      <c r="H9893">
        <v>2023</v>
      </c>
      <c r="I9893" t="s">
        <v>10008</v>
      </c>
    </row>
    <row r="9894" spans="1:9" x14ac:dyDescent="0.3">
      <c r="A9894" t="s">
        <v>10146</v>
      </c>
      <c r="B9894" t="s">
        <v>38</v>
      </c>
      <c r="C9894">
        <v>7648876604</v>
      </c>
      <c r="D9894" s="2">
        <v>1</v>
      </c>
      <c r="E9894" t="str">
        <f>"4574674200884906"</f>
        <v>4574674200884906</v>
      </c>
      <c r="F9894" t="str">
        <f>"451"</f>
        <v>451</v>
      </c>
      <c r="G9894">
        <v>1</v>
      </c>
      <c r="H9894">
        <v>2023</v>
      </c>
      <c r="I9894" t="s">
        <v>10009</v>
      </c>
    </row>
    <row r="9895" spans="1:9" x14ac:dyDescent="0.3">
      <c r="A9895" t="s">
        <v>10147</v>
      </c>
      <c r="B9895" t="s">
        <v>39</v>
      </c>
      <c r="C9895">
        <v>7648876604</v>
      </c>
      <c r="D9895" s="2">
        <v>1</v>
      </c>
      <c r="E9895" t="str">
        <f>"4574674200884955"</f>
        <v>4574674200884955</v>
      </c>
      <c r="F9895" t="str">
        <f>"553"</f>
        <v>553</v>
      </c>
      <c r="G9895">
        <v>1</v>
      </c>
      <c r="H9895">
        <v>2023</v>
      </c>
      <c r="I9895" t="s">
        <v>10010</v>
      </c>
    </row>
    <row r="9896" spans="1:9" x14ac:dyDescent="0.3">
      <c r="A9896" t="s">
        <v>10147</v>
      </c>
      <c r="B9896" t="s">
        <v>39</v>
      </c>
      <c r="C9896">
        <v>7648876604</v>
      </c>
      <c r="D9896" s="2">
        <v>1</v>
      </c>
      <c r="E9896" t="str">
        <f>"4574674200884963"</f>
        <v>4574674200884963</v>
      </c>
      <c r="F9896" t="str">
        <f>"705"</f>
        <v>705</v>
      </c>
      <c r="G9896">
        <v>1</v>
      </c>
      <c r="H9896">
        <v>2023</v>
      </c>
      <c r="I9896" t="s">
        <v>10011</v>
      </c>
    </row>
    <row r="9897" spans="1:9" x14ac:dyDescent="0.3">
      <c r="A9897" t="s">
        <v>10147</v>
      </c>
      <c r="B9897" t="s">
        <v>39</v>
      </c>
      <c r="C9897">
        <v>7648876604</v>
      </c>
      <c r="D9897" s="2">
        <v>1</v>
      </c>
      <c r="E9897" t="str">
        <f>"4574674200885200"</f>
        <v>4574674200885200</v>
      </c>
      <c r="F9897" t="str">
        <f>"742"</f>
        <v>742</v>
      </c>
      <c r="G9897">
        <v>1</v>
      </c>
      <c r="H9897">
        <v>2023</v>
      </c>
      <c r="I9897" t="s">
        <v>10012</v>
      </c>
    </row>
    <row r="9898" spans="1:9" x14ac:dyDescent="0.3">
      <c r="A9898" t="s">
        <v>10147</v>
      </c>
      <c r="B9898" t="s">
        <v>39</v>
      </c>
      <c r="C9898">
        <v>7648876604</v>
      </c>
      <c r="D9898" s="2">
        <v>1</v>
      </c>
      <c r="E9898" t="str">
        <f>"4574674200884997"</f>
        <v>4574674200884997</v>
      </c>
      <c r="F9898" t="str">
        <f>"593"</f>
        <v>593</v>
      </c>
      <c r="G9898">
        <v>1</v>
      </c>
      <c r="H9898">
        <v>2023</v>
      </c>
      <c r="I9898" t="s">
        <v>10013</v>
      </c>
    </row>
    <row r="9899" spans="1:9" x14ac:dyDescent="0.3">
      <c r="A9899" t="s">
        <v>10147</v>
      </c>
      <c r="B9899" t="s">
        <v>39</v>
      </c>
      <c r="C9899">
        <v>7648876604</v>
      </c>
      <c r="D9899" s="2">
        <v>1</v>
      </c>
      <c r="E9899" t="str">
        <f>"4574674200885408"</f>
        <v>4574674200885408</v>
      </c>
      <c r="F9899" t="str">
        <f>"436"</f>
        <v>436</v>
      </c>
      <c r="G9899">
        <v>1</v>
      </c>
      <c r="H9899">
        <v>2023</v>
      </c>
      <c r="I9899" t="s">
        <v>10014</v>
      </c>
    </row>
    <row r="9900" spans="1:9" x14ac:dyDescent="0.3">
      <c r="A9900" t="s">
        <v>10147</v>
      </c>
      <c r="B9900" t="s">
        <v>39</v>
      </c>
      <c r="C9900">
        <v>7648876604</v>
      </c>
      <c r="D9900" s="2">
        <v>1</v>
      </c>
      <c r="E9900" t="str">
        <f>"4574674200885432"</f>
        <v>4574674200885432</v>
      </c>
      <c r="F9900" t="str">
        <f>"053"</f>
        <v>053</v>
      </c>
      <c r="G9900">
        <v>1</v>
      </c>
      <c r="H9900">
        <v>2023</v>
      </c>
      <c r="I9900" t="s">
        <v>10015</v>
      </c>
    </row>
    <row r="9901" spans="1:9" x14ac:dyDescent="0.3">
      <c r="A9901" t="s">
        <v>10147</v>
      </c>
      <c r="B9901" t="s">
        <v>39</v>
      </c>
      <c r="C9901">
        <v>7648876604</v>
      </c>
      <c r="D9901" s="2">
        <v>1</v>
      </c>
      <c r="E9901" t="str">
        <f>"4574674200885440"</f>
        <v>4574674200885440</v>
      </c>
      <c r="F9901" t="str">
        <f>"812"</f>
        <v>812</v>
      </c>
      <c r="G9901">
        <v>1</v>
      </c>
      <c r="H9901">
        <v>2023</v>
      </c>
      <c r="I9901" t="s">
        <v>10016</v>
      </c>
    </row>
    <row r="9902" spans="1:9" x14ac:dyDescent="0.3">
      <c r="A9902" t="s">
        <v>10147</v>
      </c>
      <c r="B9902" t="s">
        <v>39</v>
      </c>
      <c r="C9902">
        <v>7648876604</v>
      </c>
      <c r="D9902" s="2">
        <v>1</v>
      </c>
      <c r="E9902" t="str">
        <f>"4574674200885457"</f>
        <v>4574674200885457</v>
      </c>
      <c r="F9902" t="str">
        <f>"909"</f>
        <v>909</v>
      </c>
      <c r="G9902">
        <v>1</v>
      </c>
      <c r="H9902">
        <v>2023</v>
      </c>
      <c r="I9902" t="s">
        <v>10017</v>
      </c>
    </row>
    <row r="9903" spans="1:9" x14ac:dyDescent="0.3">
      <c r="A9903" t="s">
        <v>10147</v>
      </c>
      <c r="B9903" t="s">
        <v>39</v>
      </c>
      <c r="C9903">
        <v>7648876604</v>
      </c>
      <c r="D9903" s="2">
        <v>1</v>
      </c>
      <c r="E9903" t="str">
        <f>"4574674200885622"</f>
        <v>4574674200885622</v>
      </c>
      <c r="F9903" t="str">
        <f>"967"</f>
        <v>967</v>
      </c>
      <c r="G9903">
        <v>1</v>
      </c>
      <c r="H9903">
        <v>2023</v>
      </c>
      <c r="I9903" t="s">
        <v>10018</v>
      </c>
    </row>
    <row r="9904" spans="1:9" x14ac:dyDescent="0.3">
      <c r="A9904" t="s">
        <v>10147</v>
      </c>
      <c r="B9904" t="s">
        <v>39</v>
      </c>
      <c r="C9904">
        <v>7648876604</v>
      </c>
      <c r="D9904" s="2">
        <v>1</v>
      </c>
      <c r="E9904" t="str">
        <f>"4574674200885481"</f>
        <v>4574674200885481</v>
      </c>
      <c r="F9904" t="str">
        <f>"887"</f>
        <v>887</v>
      </c>
      <c r="G9904">
        <v>1</v>
      </c>
      <c r="H9904">
        <v>2023</v>
      </c>
      <c r="I9904" t="s">
        <v>10019</v>
      </c>
    </row>
    <row r="9905" spans="1:9" x14ac:dyDescent="0.3">
      <c r="A9905" t="s">
        <v>10148</v>
      </c>
      <c r="B9905" t="s">
        <v>40</v>
      </c>
      <c r="C9905">
        <v>7648876604</v>
      </c>
      <c r="D9905" s="2">
        <v>1</v>
      </c>
      <c r="E9905" t="str">
        <f>"4574674200885770"</f>
        <v>4574674200885770</v>
      </c>
      <c r="F9905" t="str">
        <f>"179"</f>
        <v>179</v>
      </c>
      <c r="G9905">
        <v>1</v>
      </c>
      <c r="H9905">
        <v>2023</v>
      </c>
      <c r="I9905" t="s">
        <v>10020</v>
      </c>
    </row>
    <row r="9906" spans="1:9" x14ac:dyDescent="0.3">
      <c r="A9906" t="s">
        <v>10148</v>
      </c>
      <c r="B9906" t="s">
        <v>40</v>
      </c>
      <c r="C9906">
        <v>7648876604</v>
      </c>
      <c r="D9906" s="2">
        <v>1</v>
      </c>
      <c r="E9906" t="str">
        <f>"4574674200885515"</f>
        <v>4574674200885515</v>
      </c>
      <c r="F9906" t="str">
        <f>"862"</f>
        <v>862</v>
      </c>
      <c r="G9906">
        <v>1</v>
      </c>
      <c r="H9906">
        <v>2023</v>
      </c>
      <c r="I9906" t="s">
        <v>10021</v>
      </c>
    </row>
    <row r="9907" spans="1:9" x14ac:dyDescent="0.3">
      <c r="A9907" t="s">
        <v>10148</v>
      </c>
      <c r="B9907" t="s">
        <v>40</v>
      </c>
      <c r="C9907">
        <v>7648876604</v>
      </c>
      <c r="D9907" s="2">
        <v>1</v>
      </c>
      <c r="E9907" t="str">
        <f>"4574674200885523"</f>
        <v>4574674200885523</v>
      </c>
      <c r="F9907" t="str">
        <f>"062"</f>
        <v>062</v>
      </c>
      <c r="G9907">
        <v>1</v>
      </c>
      <c r="H9907">
        <v>2023</v>
      </c>
      <c r="I9907" t="s">
        <v>10022</v>
      </c>
    </row>
    <row r="9908" spans="1:9" x14ac:dyDescent="0.3">
      <c r="A9908" t="s">
        <v>10148</v>
      </c>
      <c r="B9908" t="s">
        <v>40</v>
      </c>
      <c r="C9908">
        <v>7648876604</v>
      </c>
      <c r="D9908" s="2">
        <v>1</v>
      </c>
      <c r="E9908" t="str">
        <f>"4574674200885564"</f>
        <v>4574674200885564</v>
      </c>
      <c r="F9908" t="str">
        <f>"127"</f>
        <v>127</v>
      </c>
      <c r="G9908">
        <v>1</v>
      </c>
      <c r="H9908">
        <v>2023</v>
      </c>
      <c r="I9908" t="s">
        <v>10023</v>
      </c>
    </row>
    <row r="9909" spans="1:9" x14ac:dyDescent="0.3">
      <c r="A9909" t="s">
        <v>10148</v>
      </c>
      <c r="B9909" t="s">
        <v>40</v>
      </c>
      <c r="C9909">
        <v>7648876604</v>
      </c>
      <c r="D9909" s="2">
        <v>1</v>
      </c>
      <c r="E9909" t="str">
        <f>"4574674200885556"</f>
        <v>4574674200885556</v>
      </c>
      <c r="F9909" t="str">
        <f>"011"</f>
        <v>011</v>
      </c>
      <c r="G9909">
        <v>1</v>
      </c>
      <c r="H9909">
        <v>2023</v>
      </c>
      <c r="I9909" t="s">
        <v>10024</v>
      </c>
    </row>
    <row r="9910" spans="1:9" x14ac:dyDescent="0.3">
      <c r="A9910" t="s">
        <v>10148</v>
      </c>
      <c r="B9910" t="s">
        <v>40</v>
      </c>
      <c r="C9910">
        <v>7648876604</v>
      </c>
      <c r="D9910" s="2">
        <v>1</v>
      </c>
      <c r="E9910" t="str">
        <f>"4574674200885572"</f>
        <v>4574674200885572</v>
      </c>
      <c r="F9910" t="str">
        <f>"052"</f>
        <v>052</v>
      </c>
      <c r="G9910">
        <v>1</v>
      </c>
      <c r="H9910">
        <v>2023</v>
      </c>
      <c r="I9910" t="s">
        <v>10025</v>
      </c>
    </row>
    <row r="9911" spans="1:9" x14ac:dyDescent="0.3">
      <c r="A9911" t="s">
        <v>10148</v>
      </c>
      <c r="B9911" t="s">
        <v>40</v>
      </c>
      <c r="C9911">
        <v>7648876604</v>
      </c>
      <c r="D9911" s="2">
        <v>1</v>
      </c>
      <c r="E9911" t="str">
        <f>"4574674200885937"</f>
        <v>4574674200885937</v>
      </c>
      <c r="F9911" t="str">
        <f>"287"</f>
        <v>287</v>
      </c>
      <c r="G9911">
        <v>1</v>
      </c>
      <c r="H9911">
        <v>2023</v>
      </c>
      <c r="I9911" t="s">
        <v>10026</v>
      </c>
    </row>
    <row r="9912" spans="1:9" x14ac:dyDescent="0.3">
      <c r="A9912" t="s">
        <v>10148</v>
      </c>
      <c r="B9912" t="s">
        <v>40</v>
      </c>
      <c r="C9912">
        <v>7648876604</v>
      </c>
      <c r="D9912" s="2">
        <v>1</v>
      </c>
      <c r="E9912" t="str">
        <f>"4574674200886000"</f>
        <v>4574674200886000</v>
      </c>
      <c r="F9912" t="str">
        <f>"619"</f>
        <v>619</v>
      </c>
      <c r="G9912">
        <v>1</v>
      </c>
      <c r="H9912">
        <v>2023</v>
      </c>
      <c r="I9912" t="s">
        <v>10027</v>
      </c>
    </row>
    <row r="9913" spans="1:9" x14ac:dyDescent="0.3">
      <c r="A9913" t="s">
        <v>10148</v>
      </c>
      <c r="B9913" t="s">
        <v>40</v>
      </c>
      <c r="C9913">
        <v>7648876604</v>
      </c>
      <c r="D9913" s="2">
        <v>1</v>
      </c>
      <c r="E9913" t="str">
        <f>"4574674200886034"</f>
        <v>4574674200886034</v>
      </c>
      <c r="F9913" t="str">
        <f>"287"</f>
        <v>287</v>
      </c>
      <c r="G9913">
        <v>1</v>
      </c>
      <c r="H9913">
        <v>2023</v>
      </c>
      <c r="I9913" t="s">
        <v>10028</v>
      </c>
    </row>
    <row r="9914" spans="1:9" x14ac:dyDescent="0.3">
      <c r="A9914" t="s">
        <v>10148</v>
      </c>
      <c r="B9914" t="s">
        <v>40</v>
      </c>
      <c r="C9914">
        <v>7648876604</v>
      </c>
      <c r="D9914" s="2">
        <v>1</v>
      </c>
      <c r="E9914" t="str">
        <f>"4574674200886059"</f>
        <v>4574674200886059</v>
      </c>
      <c r="F9914" t="str">
        <f>"016"</f>
        <v>016</v>
      </c>
      <c r="G9914">
        <v>1</v>
      </c>
      <c r="H9914">
        <v>2023</v>
      </c>
      <c r="I9914" t="s">
        <v>10029</v>
      </c>
    </row>
    <row r="9915" spans="1:9" x14ac:dyDescent="0.3">
      <c r="A9915" t="s">
        <v>10149</v>
      </c>
      <c r="B9915" t="s">
        <v>41</v>
      </c>
      <c r="C9915">
        <v>7648876604</v>
      </c>
      <c r="D9915" s="2">
        <v>1</v>
      </c>
      <c r="E9915" t="str">
        <f>"4574674200886075"</f>
        <v>4574674200886075</v>
      </c>
      <c r="F9915" t="str">
        <f>"894"</f>
        <v>894</v>
      </c>
      <c r="G9915">
        <v>1</v>
      </c>
      <c r="H9915">
        <v>2023</v>
      </c>
      <c r="I9915" t="s">
        <v>10030</v>
      </c>
    </row>
    <row r="9916" spans="1:9" x14ac:dyDescent="0.3">
      <c r="A9916" t="s">
        <v>10149</v>
      </c>
      <c r="B9916" t="s">
        <v>41</v>
      </c>
      <c r="C9916">
        <v>7648876604</v>
      </c>
      <c r="D9916" s="2">
        <v>1</v>
      </c>
      <c r="E9916" t="str">
        <f>"4574674200886083"</f>
        <v>4574674200886083</v>
      </c>
      <c r="F9916" t="str">
        <f>"393"</f>
        <v>393</v>
      </c>
      <c r="G9916">
        <v>1</v>
      </c>
      <c r="H9916">
        <v>2023</v>
      </c>
      <c r="I9916" t="s">
        <v>10031</v>
      </c>
    </row>
    <row r="9917" spans="1:9" x14ac:dyDescent="0.3">
      <c r="A9917" t="s">
        <v>10149</v>
      </c>
      <c r="B9917" t="s">
        <v>41</v>
      </c>
      <c r="C9917">
        <v>7648876604</v>
      </c>
      <c r="D9917" s="2">
        <v>1</v>
      </c>
      <c r="E9917" t="str">
        <f>"4574674200886273"</f>
        <v>4574674200886273</v>
      </c>
      <c r="F9917" t="str">
        <f>"533"</f>
        <v>533</v>
      </c>
      <c r="G9917">
        <v>1</v>
      </c>
      <c r="H9917">
        <v>2023</v>
      </c>
      <c r="I9917" t="s">
        <v>10032</v>
      </c>
    </row>
    <row r="9918" spans="1:9" x14ac:dyDescent="0.3">
      <c r="A9918" t="s">
        <v>10149</v>
      </c>
      <c r="B9918" t="s">
        <v>41</v>
      </c>
      <c r="C9918">
        <v>7648876604</v>
      </c>
      <c r="D9918" s="2">
        <v>1</v>
      </c>
      <c r="E9918" t="str">
        <f>"4574674200886109"</f>
        <v>4574674200886109</v>
      </c>
      <c r="F9918" t="str">
        <f>"621"</f>
        <v>621</v>
      </c>
      <c r="G9918">
        <v>1</v>
      </c>
      <c r="H9918">
        <v>2023</v>
      </c>
      <c r="I9918" t="s">
        <v>10033</v>
      </c>
    </row>
    <row r="9919" spans="1:9" x14ac:dyDescent="0.3">
      <c r="A9919" t="s">
        <v>10149</v>
      </c>
      <c r="B9919" t="s">
        <v>41</v>
      </c>
      <c r="C9919">
        <v>7648876604</v>
      </c>
      <c r="D9919" s="2">
        <v>1</v>
      </c>
      <c r="E9919" t="str">
        <f>"4574674200886125"</f>
        <v>4574674200886125</v>
      </c>
      <c r="F9919" t="str">
        <f>"228"</f>
        <v>228</v>
      </c>
      <c r="G9919">
        <v>1</v>
      </c>
      <c r="H9919">
        <v>2023</v>
      </c>
      <c r="I9919" t="s">
        <v>10034</v>
      </c>
    </row>
    <row r="9920" spans="1:9" x14ac:dyDescent="0.3">
      <c r="A9920" t="s">
        <v>10149</v>
      </c>
      <c r="B9920" t="s">
        <v>41</v>
      </c>
      <c r="C9920">
        <v>7648876604</v>
      </c>
      <c r="D9920" s="2">
        <v>1</v>
      </c>
      <c r="E9920" t="str">
        <f>"4574674200886448"</f>
        <v>4574674200886448</v>
      </c>
      <c r="F9920" t="str">
        <f>"865"</f>
        <v>865</v>
      </c>
      <c r="G9920">
        <v>1</v>
      </c>
      <c r="H9920">
        <v>2023</v>
      </c>
      <c r="I9920" t="s">
        <v>10035</v>
      </c>
    </row>
    <row r="9921" spans="1:9" x14ac:dyDescent="0.3">
      <c r="A9921" t="s">
        <v>10149</v>
      </c>
      <c r="B9921" t="s">
        <v>41</v>
      </c>
      <c r="C9921">
        <v>7648876604</v>
      </c>
      <c r="D9921" s="2">
        <v>1</v>
      </c>
      <c r="E9921" t="str">
        <f>"4574674200886158"</f>
        <v>4574674200886158</v>
      </c>
      <c r="F9921" t="str">
        <f>"441"</f>
        <v>441</v>
      </c>
      <c r="G9921">
        <v>1</v>
      </c>
      <c r="H9921">
        <v>2023</v>
      </c>
      <c r="I9921" t="s">
        <v>10036</v>
      </c>
    </row>
    <row r="9922" spans="1:9" x14ac:dyDescent="0.3">
      <c r="A9922" t="s">
        <v>10149</v>
      </c>
      <c r="B9922" t="s">
        <v>41</v>
      </c>
      <c r="C9922">
        <v>7648876604</v>
      </c>
      <c r="D9922" s="2">
        <v>1</v>
      </c>
      <c r="E9922" t="str">
        <f>"4574674200886182"</f>
        <v>4574674200886182</v>
      </c>
      <c r="F9922" t="str">
        <f>"692"</f>
        <v>692</v>
      </c>
      <c r="G9922">
        <v>1</v>
      </c>
      <c r="H9922">
        <v>2023</v>
      </c>
      <c r="I9922" t="s">
        <v>10037</v>
      </c>
    </row>
    <row r="9923" spans="1:9" x14ac:dyDescent="0.3">
      <c r="A9923" t="s">
        <v>10149</v>
      </c>
      <c r="B9923" t="s">
        <v>41</v>
      </c>
      <c r="C9923">
        <v>7648876604</v>
      </c>
      <c r="D9923" s="2">
        <v>1</v>
      </c>
      <c r="E9923" t="str">
        <f>"4574674200886174"</f>
        <v>4574674200886174</v>
      </c>
      <c r="F9923" t="str">
        <f>"710"</f>
        <v>710</v>
      </c>
      <c r="G9923">
        <v>1</v>
      </c>
      <c r="H9923">
        <v>2023</v>
      </c>
      <c r="I9923" t="s">
        <v>10038</v>
      </c>
    </row>
    <row r="9924" spans="1:9" x14ac:dyDescent="0.3">
      <c r="A9924" t="s">
        <v>10149</v>
      </c>
      <c r="B9924" t="s">
        <v>41</v>
      </c>
      <c r="C9924">
        <v>7648876604</v>
      </c>
      <c r="D9924" s="2">
        <v>1</v>
      </c>
      <c r="E9924" t="str">
        <f>"4574674200886190"</f>
        <v>4574674200886190</v>
      </c>
      <c r="F9924" t="str">
        <f>"791"</f>
        <v>791</v>
      </c>
      <c r="G9924">
        <v>1</v>
      </c>
      <c r="H9924">
        <v>2023</v>
      </c>
      <c r="I9924" t="s">
        <v>10039</v>
      </c>
    </row>
    <row r="9925" spans="1:9" x14ac:dyDescent="0.3">
      <c r="A9925" t="s">
        <v>10150</v>
      </c>
      <c r="B9925" t="s">
        <v>42</v>
      </c>
      <c r="C9925">
        <v>7648876604</v>
      </c>
      <c r="D9925" s="2">
        <v>1</v>
      </c>
      <c r="E9925" t="str">
        <f>"4574674200886620"</f>
        <v>4574674200886620</v>
      </c>
      <c r="F9925" t="str">
        <f>"562"</f>
        <v>562</v>
      </c>
      <c r="G9925">
        <v>1</v>
      </c>
      <c r="H9925">
        <v>2023</v>
      </c>
      <c r="I9925" t="s">
        <v>10040</v>
      </c>
    </row>
    <row r="9926" spans="1:9" x14ac:dyDescent="0.3">
      <c r="A9926" t="s">
        <v>10150</v>
      </c>
      <c r="B9926" t="s">
        <v>42</v>
      </c>
      <c r="C9926">
        <v>7648876604</v>
      </c>
      <c r="D9926" s="2">
        <v>1</v>
      </c>
      <c r="E9926" t="str">
        <f>"4574674200886802"</f>
        <v>4574674200886802</v>
      </c>
      <c r="F9926" t="str">
        <f>"315"</f>
        <v>315</v>
      </c>
      <c r="G9926">
        <v>1</v>
      </c>
      <c r="H9926">
        <v>2023</v>
      </c>
      <c r="I9926" t="s">
        <v>10041</v>
      </c>
    </row>
    <row r="9927" spans="1:9" x14ac:dyDescent="0.3">
      <c r="A9927" t="s">
        <v>10150</v>
      </c>
      <c r="B9927" t="s">
        <v>42</v>
      </c>
      <c r="C9927">
        <v>7648876604</v>
      </c>
      <c r="D9927" s="2">
        <v>1</v>
      </c>
      <c r="E9927" t="str">
        <f>"4574674200886638"</f>
        <v>4574674200886638</v>
      </c>
      <c r="F9927" t="str">
        <f>"496"</f>
        <v>496</v>
      </c>
      <c r="G9927">
        <v>1</v>
      </c>
      <c r="H9927">
        <v>2023</v>
      </c>
      <c r="I9927" t="s">
        <v>10042</v>
      </c>
    </row>
    <row r="9928" spans="1:9" x14ac:dyDescent="0.3">
      <c r="A9928" t="s">
        <v>10150</v>
      </c>
      <c r="B9928" t="s">
        <v>42</v>
      </c>
      <c r="C9928">
        <v>7648876604</v>
      </c>
      <c r="D9928" s="2">
        <v>1</v>
      </c>
      <c r="E9928" t="str">
        <f>"4574674200886661"</f>
        <v>4574674200886661</v>
      </c>
      <c r="F9928" t="str">
        <f>"162"</f>
        <v>162</v>
      </c>
      <c r="G9928">
        <v>1</v>
      </c>
      <c r="H9928">
        <v>2023</v>
      </c>
      <c r="I9928" t="s">
        <v>10043</v>
      </c>
    </row>
    <row r="9929" spans="1:9" x14ac:dyDescent="0.3">
      <c r="A9929" t="s">
        <v>10150</v>
      </c>
      <c r="B9929" t="s">
        <v>42</v>
      </c>
      <c r="C9929">
        <v>7648876604</v>
      </c>
      <c r="D9929" s="2">
        <v>1</v>
      </c>
      <c r="E9929" t="str">
        <f>"4574674200886687"</f>
        <v>4574674200886687</v>
      </c>
      <c r="F9929" t="str">
        <f>"150"</f>
        <v>150</v>
      </c>
      <c r="G9929">
        <v>1</v>
      </c>
      <c r="H9929">
        <v>2023</v>
      </c>
      <c r="I9929" t="s">
        <v>10044</v>
      </c>
    </row>
    <row r="9930" spans="1:9" x14ac:dyDescent="0.3">
      <c r="A9930" t="s">
        <v>10150</v>
      </c>
      <c r="B9930" t="s">
        <v>42</v>
      </c>
      <c r="C9930">
        <v>7648876604</v>
      </c>
      <c r="D9930" s="2">
        <v>1</v>
      </c>
      <c r="E9930" t="str">
        <f>"4574674200886679"</f>
        <v>4574674200886679</v>
      </c>
      <c r="F9930" t="str">
        <f>"993"</f>
        <v>993</v>
      </c>
      <c r="G9930">
        <v>1</v>
      </c>
      <c r="H9930">
        <v>2023</v>
      </c>
      <c r="I9930" t="s">
        <v>10045</v>
      </c>
    </row>
    <row r="9931" spans="1:9" x14ac:dyDescent="0.3">
      <c r="A9931" t="s">
        <v>10150</v>
      </c>
      <c r="B9931" t="s">
        <v>42</v>
      </c>
      <c r="C9931">
        <v>7648876604</v>
      </c>
      <c r="D9931" s="2">
        <v>1</v>
      </c>
      <c r="E9931" t="str">
        <f>"4574674200886943"</f>
        <v>4574674200886943</v>
      </c>
      <c r="F9931" t="str">
        <f>"041"</f>
        <v>041</v>
      </c>
      <c r="G9931">
        <v>1</v>
      </c>
      <c r="H9931">
        <v>2023</v>
      </c>
      <c r="I9931" t="s">
        <v>10046</v>
      </c>
    </row>
    <row r="9932" spans="1:9" x14ac:dyDescent="0.3">
      <c r="A9932" t="s">
        <v>10150</v>
      </c>
      <c r="B9932" t="s">
        <v>42</v>
      </c>
      <c r="C9932">
        <v>7648876604</v>
      </c>
      <c r="D9932" s="2">
        <v>1</v>
      </c>
      <c r="E9932" t="str">
        <f>"4574674200886711"</f>
        <v>4574674200886711</v>
      </c>
      <c r="F9932" t="str">
        <f>"118"</f>
        <v>118</v>
      </c>
      <c r="G9932">
        <v>1</v>
      </c>
      <c r="H9932">
        <v>2023</v>
      </c>
      <c r="I9932" t="s">
        <v>10047</v>
      </c>
    </row>
    <row r="9933" spans="1:9" x14ac:dyDescent="0.3">
      <c r="A9933" t="s">
        <v>10150</v>
      </c>
      <c r="B9933" t="s">
        <v>42</v>
      </c>
      <c r="C9933">
        <v>7648876604</v>
      </c>
      <c r="D9933" s="2">
        <v>1</v>
      </c>
      <c r="E9933" t="str">
        <f>"4574674200886745"</f>
        <v>4574674200886745</v>
      </c>
      <c r="F9933" t="str">
        <f>"934"</f>
        <v>934</v>
      </c>
      <c r="G9933">
        <v>1</v>
      </c>
      <c r="H9933">
        <v>2023</v>
      </c>
      <c r="I9933" t="s">
        <v>10048</v>
      </c>
    </row>
    <row r="9934" spans="1:9" x14ac:dyDescent="0.3">
      <c r="A9934" t="s">
        <v>10150</v>
      </c>
      <c r="B9934" t="s">
        <v>42</v>
      </c>
      <c r="C9934">
        <v>7648876604</v>
      </c>
      <c r="D9934" s="2">
        <v>1</v>
      </c>
      <c r="E9934" t="str">
        <f>"4574674200886752"</f>
        <v>4574674200886752</v>
      </c>
      <c r="F9934" t="str">
        <f>"189"</f>
        <v>189</v>
      </c>
      <c r="G9934">
        <v>1</v>
      </c>
      <c r="H9934">
        <v>2023</v>
      </c>
      <c r="I9934" t="s">
        <v>10049</v>
      </c>
    </row>
    <row r="9935" spans="1:9" x14ac:dyDescent="0.3">
      <c r="A9935" t="s">
        <v>10147</v>
      </c>
      <c r="B9935" t="s">
        <v>39</v>
      </c>
      <c r="C9935">
        <v>7648876604</v>
      </c>
      <c r="D9935" s="2">
        <v>1</v>
      </c>
      <c r="E9935" t="str">
        <f>"4574674200886778"</f>
        <v>4574674200886778</v>
      </c>
      <c r="F9935" t="str">
        <f>"640"</f>
        <v>640</v>
      </c>
      <c r="G9935">
        <v>1</v>
      </c>
      <c r="H9935">
        <v>2023</v>
      </c>
      <c r="I9935" t="s">
        <v>10050</v>
      </c>
    </row>
    <row r="9936" spans="1:9" x14ac:dyDescent="0.3">
      <c r="A9936" t="s">
        <v>10147</v>
      </c>
      <c r="B9936" t="s">
        <v>39</v>
      </c>
      <c r="C9936">
        <v>7648876604</v>
      </c>
      <c r="D9936" s="2">
        <v>1</v>
      </c>
      <c r="E9936" t="str">
        <f>"4574674200887131"</f>
        <v>4574674200887131</v>
      </c>
      <c r="F9936" t="str">
        <f>"776"</f>
        <v>776</v>
      </c>
      <c r="G9936">
        <v>1</v>
      </c>
      <c r="H9936">
        <v>2023</v>
      </c>
      <c r="I9936" t="s">
        <v>10051</v>
      </c>
    </row>
    <row r="9937" spans="1:9" x14ac:dyDescent="0.3">
      <c r="A9937" t="s">
        <v>10147</v>
      </c>
      <c r="B9937" t="s">
        <v>39</v>
      </c>
      <c r="C9937">
        <v>7648876604</v>
      </c>
      <c r="D9937" s="2">
        <v>1</v>
      </c>
      <c r="E9937" t="str">
        <f>"4574674200887412"</f>
        <v>4574674200887412</v>
      </c>
      <c r="F9937" t="str">
        <f>"197"</f>
        <v>197</v>
      </c>
      <c r="G9937">
        <v>1</v>
      </c>
      <c r="H9937">
        <v>2023</v>
      </c>
      <c r="I9937" t="s">
        <v>10052</v>
      </c>
    </row>
    <row r="9938" spans="1:9" x14ac:dyDescent="0.3">
      <c r="A9938" t="s">
        <v>10147</v>
      </c>
      <c r="B9938" t="s">
        <v>39</v>
      </c>
      <c r="C9938">
        <v>7648876604</v>
      </c>
      <c r="D9938" s="2">
        <v>1</v>
      </c>
      <c r="E9938" t="str">
        <f>"4574674200887404"</f>
        <v>4574674200887404</v>
      </c>
      <c r="F9938" t="str">
        <f>"590"</f>
        <v>590</v>
      </c>
      <c r="G9938">
        <v>1</v>
      </c>
      <c r="H9938">
        <v>2023</v>
      </c>
      <c r="I9938" t="s">
        <v>10053</v>
      </c>
    </row>
    <row r="9939" spans="1:9" x14ac:dyDescent="0.3">
      <c r="A9939" t="s">
        <v>10147</v>
      </c>
      <c r="B9939" t="s">
        <v>39</v>
      </c>
      <c r="C9939">
        <v>7648876604</v>
      </c>
      <c r="D9939" s="2">
        <v>1</v>
      </c>
      <c r="E9939" t="str">
        <f>"4574674200887438"</f>
        <v>4574674200887438</v>
      </c>
      <c r="F9939" t="str">
        <f>"087"</f>
        <v>087</v>
      </c>
      <c r="G9939">
        <v>1</v>
      </c>
      <c r="H9939">
        <v>2023</v>
      </c>
      <c r="I9939" t="s">
        <v>10054</v>
      </c>
    </row>
    <row r="9940" spans="1:9" x14ac:dyDescent="0.3">
      <c r="A9940" t="s">
        <v>10147</v>
      </c>
      <c r="B9940" t="s">
        <v>39</v>
      </c>
      <c r="C9940">
        <v>7648876604</v>
      </c>
      <c r="D9940" s="2">
        <v>1</v>
      </c>
      <c r="E9940" t="str">
        <f>"4574674200887453"</f>
        <v>4574674200887453</v>
      </c>
      <c r="F9940" t="str">
        <f>"609"</f>
        <v>609</v>
      </c>
      <c r="G9940">
        <v>1</v>
      </c>
      <c r="H9940">
        <v>2023</v>
      </c>
      <c r="I9940" t="s">
        <v>10055</v>
      </c>
    </row>
    <row r="9941" spans="1:9" x14ac:dyDescent="0.3">
      <c r="A9941" t="s">
        <v>10147</v>
      </c>
      <c r="B9941" t="s">
        <v>39</v>
      </c>
      <c r="C9941">
        <v>7648876604</v>
      </c>
      <c r="D9941" s="2">
        <v>1</v>
      </c>
      <c r="E9941" t="str">
        <f>"4574674200887461"</f>
        <v>4574674200887461</v>
      </c>
      <c r="F9941" t="str">
        <f>"626"</f>
        <v>626</v>
      </c>
      <c r="G9941">
        <v>1</v>
      </c>
      <c r="H9941">
        <v>2023</v>
      </c>
      <c r="I9941" t="s">
        <v>10056</v>
      </c>
    </row>
    <row r="9942" spans="1:9" x14ac:dyDescent="0.3">
      <c r="A9942" t="s">
        <v>10147</v>
      </c>
      <c r="B9942" t="s">
        <v>39</v>
      </c>
      <c r="C9942">
        <v>7648876604</v>
      </c>
      <c r="D9942" s="2">
        <v>1</v>
      </c>
      <c r="E9942" t="str">
        <f>"4574674200887313"</f>
        <v>4574674200887313</v>
      </c>
      <c r="F9942" t="str">
        <f>"732"</f>
        <v>732</v>
      </c>
      <c r="G9942">
        <v>1</v>
      </c>
      <c r="H9942">
        <v>2023</v>
      </c>
      <c r="I9942" t="s">
        <v>10057</v>
      </c>
    </row>
    <row r="9943" spans="1:9" x14ac:dyDescent="0.3">
      <c r="A9943" t="s">
        <v>10147</v>
      </c>
      <c r="B9943" t="s">
        <v>39</v>
      </c>
      <c r="C9943">
        <v>7648876604</v>
      </c>
      <c r="D9943" s="2">
        <v>1</v>
      </c>
      <c r="E9943" t="str">
        <f>"4574674200887495"</f>
        <v>4574674200887495</v>
      </c>
      <c r="F9943" t="str">
        <f>"743"</f>
        <v>743</v>
      </c>
      <c r="G9943">
        <v>1</v>
      </c>
      <c r="H9943">
        <v>2023</v>
      </c>
      <c r="I9943" t="s">
        <v>10058</v>
      </c>
    </row>
    <row r="9944" spans="1:9" x14ac:dyDescent="0.3">
      <c r="A9944" t="s">
        <v>10147</v>
      </c>
      <c r="B9944" t="s">
        <v>39</v>
      </c>
      <c r="C9944">
        <v>7648876604</v>
      </c>
      <c r="D9944" s="2">
        <v>1</v>
      </c>
      <c r="E9944" t="str">
        <f>"4574674200887545"</f>
        <v>4574674200887545</v>
      </c>
      <c r="F9944" t="str">
        <f>"692"</f>
        <v>692</v>
      </c>
      <c r="G9944">
        <v>1</v>
      </c>
      <c r="H9944">
        <v>2023</v>
      </c>
      <c r="I9944" t="s">
        <v>10059</v>
      </c>
    </row>
    <row r="9945" spans="1:9" x14ac:dyDescent="0.3">
      <c r="A9945" t="s">
        <v>10148</v>
      </c>
      <c r="B9945" t="s">
        <v>40</v>
      </c>
      <c r="C9945">
        <v>7648876604</v>
      </c>
      <c r="D9945" s="2">
        <v>1</v>
      </c>
      <c r="E9945" t="str">
        <f>"4574674200887537"</f>
        <v>4574674200887537</v>
      </c>
      <c r="F9945" t="str">
        <f>"184"</f>
        <v>184</v>
      </c>
      <c r="G9945">
        <v>1</v>
      </c>
      <c r="H9945">
        <v>2023</v>
      </c>
      <c r="I9945" t="s">
        <v>10060</v>
      </c>
    </row>
    <row r="9946" spans="1:9" x14ac:dyDescent="0.3">
      <c r="A9946" t="s">
        <v>10148</v>
      </c>
      <c r="B9946" t="s">
        <v>40</v>
      </c>
      <c r="C9946">
        <v>7648876604</v>
      </c>
      <c r="D9946" s="2">
        <v>1</v>
      </c>
      <c r="E9946" t="str">
        <f>"4574674200887552"</f>
        <v>4574674200887552</v>
      </c>
      <c r="F9946" t="str">
        <f>"064"</f>
        <v>064</v>
      </c>
      <c r="G9946">
        <v>1</v>
      </c>
      <c r="H9946">
        <v>2023</v>
      </c>
      <c r="I9946" t="s">
        <v>10061</v>
      </c>
    </row>
    <row r="9947" spans="1:9" x14ac:dyDescent="0.3">
      <c r="A9947" t="s">
        <v>10148</v>
      </c>
      <c r="B9947" t="s">
        <v>40</v>
      </c>
      <c r="C9947">
        <v>7648876604</v>
      </c>
      <c r="D9947" s="2">
        <v>1</v>
      </c>
      <c r="E9947" t="str">
        <f>"4574674200887586"</f>
        <v>4574674200887586</v>
      </c>
      <c r="F9947" t="str">
        <f>"338"</f>
        <v>338</v>
      </c>
      <c r="G9947">
        <v>1</v>
      </c>
      <c r="H9947">
        <v>2023</v>
      </c>
      <c r="I9947" t="s">
        <v>10062</v>
      </c>
    </row>
    <row r="9948" spans="1:9" x14ac:dyDescent="0.3">
      <c r="A9948" t="s">
        <v>10148</v>
      </c>
      <c r="B9948" t="s">
        <v>40</v>
      </c>
      <c r="C9948">
        <v>7648876604</v>
      </c>
      <c r="D9948" s="2">
        <v>1</v>
      </c>
      <c r="E9948" t="str">
        <f>"4574674200887594"</f>
        <v>4574674200887594</v>
      </c>
      <c r="F9948" t="str">
        <f>"675"</f>
        <v>675</v>
      </c>
      <c r="G9948">
        <v>1</v>
      </c>
      <c r="H9948">
        <v>2023</v>
      </c>
      <c r="I9948" t="s">
        <v>10063</v>
      </c>
    </row>
    <row r="9949" spans="1:9" x14ac:dyDescent="0.3">
      <c r="A9949" t="s">
        <v>10148</v>
      </c>
      <c r="B9949" t="s">
        <v>40</v>
      </c>
      <c r="C9949">
        <v>7648876604</v>
      </c>
      <c r="D9949" s="2">
        <v>1</v>
      </c>
      <c r="E9949" t="str">
        <f>"4574674200887818"</f>
        <v>4574674200887818</v>
      </c>
      <c r="F9949" t="str">
        <f>"143"</f>
        <v>143</v>
      </c>
      <c r="G9949">
        <v>1</v>
      </c>
      <c r="H9949">
        <v>2023</v>
      </c>
      <c r="I9949" t="s">
        <v>10064</v>
      </c>
    </row>
    <row r="9950" spans="1:9" x14ac:dyDescent="0.3">
      <c r="A9950" t="s">
        <v>10148</v>
      </c>
      <c r="B9950" t="s">
        <v>40</v>
      </c>
      <c r="C9950">
        <v>7648876604</v>
      </c>
      <c r="D9950" s="2">
        <v>1</v>
      </c>
      <c r="E9950" t="str">
        <f>"4574674200889962"</f>
        <v>4574674200889962</v>
      </c>
      <c r="F9950" t="str">
        <f>"769"</f>
        <v>769</v>
      </c>
      <c r="G9950">
        <v>1</v>
      </c>
      <c r="H9950">
        <v>2023</v>
      </c>
      <c r="I9950" t="s">
        <v>10065</v>
      </c>
    </row>
    <row r="9951" spans="1:9" x14ac:dyDescent="0.3">
      <c r="A9951" t="s">
        <v>10148</v>
      </c>
      <c r="B9951" t="s">
        <v>40</v>
      </c>
      <c r="C9951">
        <v>7648876604</v>
      </c>
      <c r="D9951" s="2">
        <v>1</v>
      </c>
      <c r="E9951" t="str">
        <f>"4574674200889988"</f>
        <v>4574674200889988</v>
      </c>
      <c r="F9951" t="str">
        <f>"305"</f>
        <v>305</v>
      </c>
      <c r="G9951">
        <v>1</v>
      </c>
      <c r="H9951">
        <v>2023</v>
      </c>
      <c r="I9951" t="s">
        <v>10066</v>
      </c>
    </row>
    <row r="9952" spans="1:9" x14ac:dyDescent="0.3">
      <c r="A9952" t="s">
        <v>10148</v>
      </c>
      <c r="B9952" t="s">
        <v>40</v>
      </c>
      <c r="C9952">
        <v>7648876604</v>
      </c>
      <c r="D9952" s="2">
        <v>1</v>
      </c>
      <c r="E9952" t="str">
        <f>"4574674200889996"</f>
        <v>4574674200889996</v>
      </c>
      <c r="F9952" t="str">
        <f>"561"</f>
        <v>561</v>
      </c>
      <c r="G9952">
        <v>1</v>
      </c>
      <c r="H9952">
        <v>2023</v>
      </c>
      <c r="I9952" t="s">
        <v>10067</v>
      </c>
    </row>
    <row r="9953" spans="1:9" x14ac:dyDescent="0.3">
      <c r="A9953" t="s">
        <v>10148</v>
      </c>
      <c r="B9953" t="s">
        <v>40</v>
      </c>
      <c r="C9953">
        <v>7648876604</v>
      </c>
      <c r="D9953" s="2">
        <v>1</v>
      </c>
      <c r="E9953" t="str">
        <f>"4574674200890440"</f>
        <v>4574674200890440</v>
      </c>
      <c r="F9953" t="str">
        <f>"859"</f>
        <v>859</v>
      </c>
      <c r="G9953">
        <v>1</v>
      </c>
      <c r="H9953">
        <v>2023</v>
      </c>
      <c r="I9953" t="s">
        <v>10068</v>
      </c>
    </row>
    <row r="9954" spans="1:9" x14ac:dyDescent="0.3">
      <c r="A9954" t="s">
        <v>10148</v>
      </c>
      <c r="B9954" t="s">
        <v>40</v>
      </c>
      <c r="C9954">
        <v>7648876604</v>
      </c>
      <c r="D9954" s="2">
        <v>1</v>
      </c>
      <c r="E9954" t="str">
        <f>"4574674200890481"</f>
        <v>4574674200890481</v>
      </c>
      <c r="F9954" t="str">
        <f>"990"</f>
        <v>990</v>
      </c>
      <c r="G9954">
        <v>1</v>
      </c>
      <c r="H9954">
        <v>2023</v>
      </c>
      <c r="I9954" t="s">
        <v>10069</v>
      </c>
    </row>
    <row r="9955" spans="1:9" x14ac:dyDescent="0.3">
      <c r="A9955" t="s">
        <v>10149</v>
      </c>
      <c r="B9955" t="s">
        <v>41</v>
      </c>
      <c r="C9955">
        <v>7648876604</v>
      </c>
      <c r="D9955" s="2">
        <v>1</v>
      </c>
      <c r="E9955" t="str">
        <f>"4574674200890507"</f>
        <v>4574674200890507</v>
      </c>
      <c r="F9955" t="str">
        <f>"753"</f>
        <v>753</v>
      </c>
      <c r="G9955">
        <v>1</v>
      </c>
      <c r="H9955">
        <v>2023</v>
      </c>
      <c r="I9955" t="s">
        <v>10070</v>
      </c>
    </row>
    <row r="9956" spans="1:9" x14ac:dyDescent="0.3">
      <c r="A9956" t="s">
        <v>10149</v>
      </c>
      <c r="B9956" t="s">
        <v>41</v>
      </c>
      <c r="C9956">
        <v>7648876604</v>
      </c>
      <c r="D9956" s="2">
        <v>1</v>
      </c>
      <c r="E9956" t="str">
        <f>"4574674200890515"</f>
        <v>4574674200890515</v>
      </c>
      <c r="F9956" t="str">
        <f>"775"</f>
        <v>775</v>
      </c>
      <c r="G9956">
        <v>1</v>
      </c>
      <c r="H9956">
        <v>2023</v>
      </c>
      <c r="I9956" t="s">
        <v>10071</v>
      </c>
    </row>
    <row r="9957" spans="1:9" x14ac:dyDescent="0.3">
      <c r="A9957" t="s">
        <v>10149</v>
      </c>
      <c r="B9957" t="s">
        <v>41</v>
      </c>
      <c r="C9957">
        <v>7648876604</v>
      </c>
      <c r="D9957" s="2">
        <v>1</v>
      </c>
      <c r="E9957" t="str">
        <f>"4574674200890549"</f>
        <v>4574674200890549</v>
      </c>
      <c r="F9957" t="str">
        <f>"236"</f>
        <v>236</v>
      </c>
      <c r="G9957">
        <v>1</v>
      </c>
      <c r="H9957">
        <v>2023</v>
      </c>
      <c r="I9957" t="s">
        <v>10072</v>
      </c>
    </row>
    <row r="9958" spans="1:9" x14ac:dyDescent="0.3">
      <c r="A9958" t="s">
        <v>10149</v>
      </c>
      <c r="B9958" t="s">
        <v>41</v>
      </c>
      <c r="C9958">
        <v>7648876604</v>
      </c>
      <c r="D9958" s="2">
        <v>1</v>
      </c>
      <c r="E9958" t="str">
        <f>"4574674200890556"</f>
        <v>4574674200890556</v>
      </c>
      <c r="F9958" t="str">
        <f>"936"</f>
        <v>936</v>
      </c>
      <c r="G9958">
        <v>1</v>
      </c>
      <c r="H9958">
        <v>2023</v>
      </c>
      <c r="I9958" t="s">
        <v>10073</v>
      </c>
    </row>
    <row r="9959" spans="1:9" x14ac:dyDescent="0.3">
      <c r="A9959" t="s">
        <v>10149</v>
      </c>
      <c r="B9959" t="s">
        <v>41</v>
      </c>
      <c r="C9959">
        <v>7648876604</v>
      </c>
      <c r="D9959" s="2">
        <v>1</v>
      </c>
      <c r="E9959" t="str">
        <f>"4574674200890564"</f>
        <v>4574674200890564</v>
      </c>
      <c r="F9959" t="str">
        <f>"695"</f>
        <v>695</v>
      </c>
      <c r="G9959">
        <v>1</v>
      </c>
      <c r="H9959">
        <v>2023</v>
      </c>
      <c r="I9959" t="s">
        <v>10074</v>
      </c>
    </row>
    <row r="9960" spans="1:9" x14ac:dyDescent="0.3">
      <c r="A9960" t="s">
        <v>10149</v>
      </c>
      <c r="B9960" t="s">
        <v>41</v>
      </c>
      <c r="C9960">
        <v>7648876604</v>
      </c>
      <c r="D9960" s="2">
        <v>1</v>
      </c>
      <c r="E9960" t="str">
        <f>"4574674200890820"</f>
        <v>4574674200890820</v>
      </c>
      <c r="F9960" t="str">
        <f>"306"</f>
        <v>306</v>
      </c>
      <c r="G9960">
        <v>1</v>
      </c>
      <c r="H9960">
        <v>2023</v>
      </c>
      <c r="I9960" t="s">
        <v>10075</v>
      </c>
    </row>
    <row r="9961" spans="1:9" x14ac:dyDescent="0.3">
      <c r="A9961" t="s">
        <v>10149</v>
      </c>
      <c r="B9961" t="s">
        <v>41</v>
      </c>
      <c r="C9961">
        <v>7648876604</v>
      </c>
      <c r="D9961" s="2">
        <v>1</v>
      </c>
      <c r="E9961" t="str">
        <f>"4574674200890812"</f>
        <v>4574674200890812</v>
      </c>
      <c r="F9961" t="str">
        <f>"561"</f>
        <v>561</v>
      </c>
      <c r="G9961">
        <v>1</v>
      </c>
      <c r="H9961">
        <v>2023</v>
      </c>
      <c r="I9961" t="s">
        <v>10076</v>
      </c>
    </row>
    <row r="9962" spans="1:9" x14ac:dyDescent="0.3">
      <c r="A9962" t="s">
        <v>10149</v>
      </c>
      <c r="B9962" t="s">
        <v>41</v>
      </c>
      <c r="C9962">
        <v>7648876604</v>
      </c>
      <c r="D9962" s="2">
        <v>1</v>
      </c>
      <c r="E9962" t="str">
        <f>"4574674200890838"</f>
        <v>4574674200890838</v>
      </c>
      <c r="F9962" t="str">
        <f>"455"</f>
        <v>455</v>
      </c>
      <c r="G9962">
        <v>1</v>
      </c>
      <c r="H9962">
        <v>2023</v>
      </c>
      <c r="I9962" t="s">
        <v>10077</v>
      </c>
    </row>
    <row r="9963" spans="1:9" x14ac:dyDescent="0.3">
      <c r="A9963" t="s">
        <v>10149</v>
      </c>
      <c r="B9963" t="s">
        <v>41</v>
      </c>
      <c r="C9963">
        <v>7648876604</v>
      </c>
      <c r="D9963" s="2">
        <v>1</v>
      </c>
      <c r="E9963" t="str">
        <f>"4574674200891075"</f>
        <v>4574674200891075</v>
      </c>
      <c r="F9963" t="str">
        <f>"943"</f>
        <v>943</v>
      </c>
      <c r="G9963">
        <v>1</v>
      </c>
      <c r="H9963">
        <v>2023</v>
      </c>
      <c r="I9963" t="s">
        <v>10078</v>
      </c>
    </row>
    <row r="9964" spans="1:9" x14ac:dyDescent="0.3">
      <c r="A9964" t="s">
        <v>10149</v>
      </c>
      <c r="B9964" t="s">
        <v>41</v>
      </c>
      <c r="C9964">
        <v>7648876604</v>
      </c>
      <c r="D9964" s="2">
        <v>1</v>
      </c>
      <c r="E9964" t="str">
        <f>"4574674200890861"</f>
        <v>4574674200890861</v>
      </c>
      <c r="F9964" t="str">
        <f>"640"</f>
        <v>640</v>
      </c>
      <c r="G9964">
        <v>1</v>
      </c>
      <c r="H9964">
        <v>2023</v>
      </c>
      <c r="I9964" t="s">
        <v>10079</v>
      </c>
    </row>
    <row r="9965" spans="1:9" x14ac:dyDescent="0.3">
      <c r="A9965" t="s">
        <v>10150</v>
      </c>
      <c r="B9965" t="s">
        <v>42</v>
      </c>
      <c r="C9965">
        <v>7648876604</v>
      </c>
      <c r="D9965" s="2">
        <v>1</v>
      </c>
      <c r="E9965" t="str">
        <f>"4574674200890879"</f>
        <v>4574674200890879</v>
      </c>
      <c r="F9965" t="str">
        <f>"799"</f>
        <v>799</v>
      </c>
      <c r="G9965">
        <v>1</v>
      </c>
      <c r="H9965">
        <v>2023</v>
      </c>
      <c r="I9965" t="s">
        <v>10080</v>
      </c>
    </row>
    <row r="9966" spans="1:9" x14ac:dyDescent="0.3">
      <c r="A9966" t="s">
        <v>10150</v>
      </c>
      <c r="B9966" t="s">
        <v>42</v>
      </c>
      <c r="C9966">
        <v>7648876604</v>
      </c>
      <c r="D9966" s="2">
        <v>1</v>
      </c>
      <c r="E9966" t="str">
        <f>"4574674200890929"</f>
        <v>4574674200890929</v>
      </c>
      <c r="F9966" t="str">
        <f>"448"</f>
        <v>448</v>
      </c>
      <c r="G9966">
        <v>1</v>
      </c>
      <c r="H9966">
        <v>2023</v>
      </c>
      <c r="I9966" t="s">
        <v>10081</v>
      </c>
    </row>
    <row r="9967" spans="1:9" x14ac:dyDescent="0.3">
      <c r="A9967" t="s">
        <v>10150</v>
      </c>
      <c r="B9967" t="s">
        <v>42</v>
      </c>
      <c r="C9967">
        <v>7648876604</v>
      </c>
      <c r="D9967" s="2">
        <v>1</v>
      </c>
      <c r="E9967" t="str">
        <f>"4574674200890937"</f>
        <v>4574674200890937</v>
      </c>
      <c r="F9967" t="str">
        <f>"045"</f>
        <v>045</v>
      </c>
      <c r="G9967">
        <v>1</v>
      </c>
      <c r="H9967">
        <v>2023</v>
      </c>
      <c r="I9967" t="s">
        <v>10082</v>
      </c>
    </row>
    <row r="9968" spans="1:9" x14ac:dyDescent="0.3">
      <c r="A9968" t="s">
        <v>10150</v>
      </c>
      <c r="B9968" t="s">
        <v>42</v>
      </c>
      <c r="C9968">
        <v>7648876604</v>
      </c>
      <c r="D9968" s="2">
        <v>1</v>
      </c>
      <c r="E9968" t="str">
        <f>"4574674200890945"</f>
        <v>4574674200890945</v>
      </c>
      <c r="F9968" t="str">
        <f>"630"</f>
        <v>630</v>
      </c>
      <c r="G9968">
        <v>1</v>
      </c>
      <c r="H9968">
        <v>2023</v>
      </c>
      <c r="I9968" t="s">
        <v>10083</v>
      </c>
    </row>
    <row r="9969" spans="1:9" x14ac:dyDescent="0.3">
      <c r="A9969" t="s">
        <v>10150</v>
      </c>
      <c r="B9969" t="s">
        <v>42</v>
      </c>
      <c r="C9969">
        <v>7648876604</v>
      </c>
      <c r="D9969" s="2">
        <v>1</v>
      </c>
      <c r="E9969" t="str">
        <f>"4574674200890978"</f>
        <v>4574674200890978</v>
      </c>
      <c r="F9969" t="str">
        <f>"803"</f>
        <v>803</v>
      </c>
      <c r="G9969">
        <v>1</v>
      </c>
      <c r="H9969">
        <v>2023</v>
      </c>
      <c r="I9969" t="s">
        <v>10084</v>
      </c>
    </row>
    <row r="9970" spans="1:9" x14ac:dyDescent="0.3">
      <c r="A9970" t="s">
        <v>10150</v>
      </c>
      <c r="B9970" t="s">
        <v>42</v>
      </c>
      <c r="C9970">
        <v>7648876604</v>
      </c>
      <c r="D9970" s="2">
        <v>1</v>
      </c>
      <c r="E9970" t="str">
        <f>"4574674200890986"</f>
        <v>4574674200890986</v>
      </c>
      <c r="F9970" t="str">
        <f>"190"</f>
        <v>190</v>
      </c>
      <c r="G9970">
        <v>1</v>
      </c>
      <c r="H9970">
        <v>2023</v>
      </c>
      <c r="I9970" t="s">
        <v>10085</v>
      </c>
    </row>
    <row r="9971" spans="1:9" x14ac:dyDescent="0.3">
      <c r="A9971" t="s">
        <v>10150</v>
      </c>
      <c r="B9971" t="s">
        <v>42</v>
      </c>
      <c r="C9971">
        <v>7648876604</v>
      </c>
      <c r="D9971" s="2">
        <v>1</v>
      </c>
      <c r="E9971" t="str">
        <f>"4574674200890994"</f>
        <v>4574674200890994</v>
      </c>
      <c r="F9971" t="str">
        <f>"359"</f>
        <v>359</v>
      </c>
      <c r="G9971">
        <v>1</v>
      </c>
      <c r="H9971">
        <v>2023</v>
      </c>
      <c r="I9971" t="s">
        <v>10086</v>
      </c>
    </row>
    <row r="9972" spans="1:9" x14ac:dyDescent="0.3">
      <c r="A9972" t="s">
        <v>10150</v>
      </c>
      <c r="B9972" t="s">
        <v>42</v>
      </c>
      <c r="C9972">
        <v>7648876604</v>
      </c>
      <c r="D9972" s="2">
        <v>1</v>
      </c>
      <c r="E9972" t="str">
        <f>"4574674200891299"</f>
        <v>4574674200891299</v>
      </c>
      <c r="F9972" t="str">
        <f>"631"</f>
        <v>631</v>
      </c>
      <c r="G9972">
        <v>1</v>
      </c>
      <c r="H9972">
        <v>2023</v>
      </c>
      <c r="I9972" t="s">
        <v>10087</v>
      </c>
    </row>
    <row r="9973" spans="1:9" x14ac:dyDescent="0.3">
      <c r="A9973" t="s">
        <v>10150</v>
      </c>
      <c r="B9973" t="s">
        <v>42</v>
      </c>
      <c r="C9973">
        <v>7648876604</v>
      </c>
      <c r="D9973" s="2">
        <v>1</v>
      </c>
      <c r="E9973" t="str">
        <f>"4574674200891422"</f>
        <v>4574674200891422</v>
      </c>
      <c r="F9973" t="str">
        <f>"395"</f>
        <v>395</v>
      </c>
      <c r="G9973">
        <v>1</v>
      </c>
      <c r="H9973">
        <v>2023</v>
      </c>
      <c r="I9973" t="s">
        <v>10088</v>
      </c>
    </row>
    <row r="9974" spans="1:9" x14ac:dyDescent="0.3">
      <c r="A9974" t="s">
        <v>10150</v>
      </c>
      <c r="B9974" t="s">
        <v>42</v>
      </c>
      <c r="C9974">
        <v>7648876604</v>
      </c>
      <c r="D9974" s="2">
        <v>1</v>
      </c>
      <c r="E9974" t="str">
        <f>"4574674200891471"</f>
        <v>4574674200891471</v>
      </c>
      <c r="F9974" t="str">
        <f>"129"</f>
        <v>129</v>
      </c>
      <c r="G9974">
        <v>1</v>
      </c>
      <c r="H9974">
        <v>2023</v>
      </c>
      <c r="I9974" t="s">
        <v>10089</v>
      </c>
    </row>
    <row r="9975" spans="1:9" x14ac:dyDescent="0.3">
      <c r="A9975" t="s">
        <v>10151</v>
      </c>
      <c r="B9975" t="s">
        <v>43</v>
      </c>
      <c r="C9975">
        <v>7648876604</v>
      </c>
      <c r="D9975" s="2">
        <v>1</v>
      </c>
      <c r="E9975" t="str">
        <f>"4574674200891463"</f>
        <v>4574674200891463</v>
      </c>
      <c r="F9975" t="str">
        <f>"230"</f>
        <v>230</v>
      </c>
      <c r="G9975">
        <v>1</v>
      </c>
      <c r="H9975">
        <v>2023</v>
      </c>
      <c r="I9975" t="s">
        <v>10090</v>
      </c>
    </row>
    <row r="9976" spans="1:9" x14ac:dyDescent="0.3">
      <c r="A9976" t="s">
        <v>10151</v>
      </c>
      <c r="B9976" t="s">
        <v>43</v>
      </c>
      <c r="C9976">
        <v>7648876604</v>
      </c>
      <c r="D9976" s="2">
        <v>1</v>
      </c>
      <c r="E9976" t="str">
        <f>"4574674200891497"</f>
        <v>4574674200891497</v>
      </c>
      <c r="F9976" t="str">
        <f>"505"</f>
        <v>505</v>
      </c>
      <c r="G9976">
        <v>1</v>
      </c>
      <c r="H9976">
        <v>2023</v>
      </c>
      <c r="I9976" t="s">
        <v>10091</v>
      </c>
    </row>
    <row r="9977" spans="1:9" x14ac:dyDescent="0.3">
      <c r="A9977" t="s">
        <v>10151</v>
      </c>
      <c r="B9977" t="s">
        <v>43</v>
      </c>
      <c r="C9977">
        <v>7648876604</v>
      </c>
      <c r="D9977" s="2">
        <v>1</v>
      </c>
      <c r="E9977" t="str">
        <f>"4574674200891505"</f>
        <v>4574674200891505</v>
      </c>
      <c r="F9977" t="str">
        <f>"223"</f>
        <v>223</v>
      </c>
      <c r="G9977">
        <v>1</v>
      </c>
      <c r="H9977">
        <v>2023</v>
      </c>
      <c r="I9977" t="s">
        <v>10092</v>
      </c>
    </row>
    <row r="9978" spans="1:9" x14ac:dyDescent="0.3">
      <c r="A9978" t="s">
        <v>10151</v>
      </c>
      <c r="B9978" t="s">
        <v>43</v>
      </c>
      <c r="C9978">
        <v>7648876604</v>
      </c>
      <c r="D9978" s="2">
        <v>1</v>
      </c>
      <c r="E9978" t="str">
        <f>"4574674200891661"</f>
        <v>4574674200891661</v>
      </c>
      <c r="F9978" t="str">
        <f>"342"</f>
        <v>342</v>
      </c>
      <c r="G9978">
        <v>1</v>
      </c>
      <c r="H9978">
        <v>2023</v>
      </c>
      <c r="I9978" t="s">
        <v>10093</v>
      </c>
    </row>
    <row r="9979" spans="1:9" x14ac:dyDescent="0.3">
      <c r="A9979" t="s">
        <v>10151</v>
      </c>
      <c r="B9979" t="s">
        <v>43</v>
      </c>
      <c r="C9979">
        <v>7648876604</v>
      </c>
      <c r="D9979" s="2">
        <v>1</v>
      </c>
      <c r="E9979" t="str">
        <f>"4574674200891513"</f>
        <v>4574674200891513</v>
      </c>
      <c r="F9979" t="str">
        <f>"231"</f>
        <v>231</v>
      </c>
      <c r="G9979">
        <v>1</v>
      </c>
      <c r="H9979">
        <v>2023</v>
      </c>
      <c r="I9979" t="s">
        <v>10094</v>
      </c>
    </row>
    <row r="9980" spans="1:9" x14ac:dyDescent="0.3">
      <c r="A9980" t="s">
        <v>10151</v>
      </c>
      <c r="B9980" t="s">
        <v>43</v>
      </c>
      <c r="C9980">
        <v>7648876604</v>
      </c>
      <c r="D9980" s="2">
        <v>1</v>
      </c>
      <c r="E9980" t="str">
        <f>"4574674200891539"</f>
        <v>4574674200891539</v>
      </c>
      <c r="F9980" t="str">
        <f>"482"</f>
        <v>482</v>
      </c>
      <c r="G9980">
        <v>1</v>
      </c>
      <c r="H9980">
        <v>2023</v>
      </c>
      <c r="I9980" t="s">
        <v>10095</v>
      </c>
    </row>
    <row r="9981" spans="1:9" x14ac:dyDescent="0.3">
      <c r="A9981" t="s">
        <v>10151</v>
      </c>
      <c r="B9981" t="s">
        <v>43</v>
      </c>
      <c r="C9981">
        <v>7648876604</v>
      </c>
      <c r="D9981" s="2">
        <v>1</v>
      </c>
      <c r="E9981" t="str">
        <f>"4574674200891547"</f>
        <v>4574674200891547</v>
      </c>
      <c r="F9981" t="str">
        <f>"017"</f>
        <v>017</v>
      </c>
      <c r="G9981">
        <v>1</v>
      </c>
      <c r="H9981">
        <v>2023</v>
      </c>
      <c r="I9981" t="s">
        <v>10096</v>
      </c>
    </row>
    <row r="9982" spans="1:9" x14ac:dyDescent="0.3">
      <c r="A9982" t="s">
        <v>10151</v>
      </c>
      <c r="B9982" t="s">
        <v>43</v>
      </c>
      <c r="C9982">
        <v>7648876604</v>
      </c>
      <c r="D9982" s="2">
        <v>1</v>
      </c>
      <c r="E9982" t="str">
        <f>"4574674200891588"</f>
        <v>4574674200891588</v>
      </c>
      <c r="F9982" t="str">
        <f>"076"</f>
        <v>076</v>
      </c>
      <c r="G9982">
        <v>1</v>
      </c>
      <c r="H9982">
        <v>2023</v>
      </c>
      <c r="I9982" t="s">
        <v>10097</v>
      </c>
    </row>
    <row r="9983" spans="1:9" x14ac:dyDescent="0.3">
      <c r="A9983" t="s">
        <v>10151</v>
      </c>
      <c r="B9983" t="s">
        <v>43</v>
      </c>
      <c r="C9983">
        <v>7648876604</v>
      </c>
      <c r="D9983" s="2">
        <v>1</v>
      </c>
      <c r="E9983" t="str">
        <f>"4574674200891752"</f>
        <v>4574674200891752</v>
      </c>
      <c r="F9983" t="str">
        <f>"267"</f>
        <v>267</v>
      </c>
      <c r="G9983">
        <v>1</v>
      </c>
      <c r="H9983">
        <v>2023</v>
      </c>
      <c r="I9983" t="s">
        <v>10098</v>
      </c>
    </row>
    <row r="9984" spans="1:9" x14ac:dyDescent="0.3">
      <c r="A9984" t="s">
        <v>10151</v>
      </c>
      <c r="B9984" t="s">
        <v>43</v>
      </c>
      <c r="C9984">
        <v>7648876604</v>
      </c>
      <c r="D9984" s="2">
        <v>1</v>
      </c>
      <c r="E9984" t="str">
        <f>"4574674200892008"</f>
        <v>4574674200892008</v>
      </c>
      <c r="F9984" t="str">
        <f>"597"</f>
        <v>597</v>
      </c>
      <c r="G9984">
        <v>1</v>
      </c>
      <c r="H9984">
        <v>2023</v>
      </c>
      <c r="I9984" t="s">
        <v>10099</v>
      </c>
    </row>
    <row r="9985" spans="1:9" x14ac:dyDescent="0.3">
      <c r="A9985" t="s">
        <v>10152</v>
      </c>
      <c r="B9985" t="s">
        <v>44</v>
      </c>
      <c r="C9985">
        <v>7648876604</v>
      </c>
      <c r="D9985" s="2">
        <v>1</v>
      </c>
      <c r="E9985" t="str">
        <f>"4574674200892024"</f>
        <v>4574674200892024</v>
      </c>
      <c r="F9985" t="str">
        <f>"475"</f>
        <v>475</v>
      </c>
      <c r="G9985">
        <v>1</v>
      </c>
      <c r="H9985">
        <v>2023</v>
      </c>
      <c r="I9985" t="s">
        <v>10100</v>
      </c>
    </row>
    <row r="9986" spans="1:9" x14ac:dyDescent="0.3">
      <c r="A9986" t="s">
        <v>10152</v>
      </c>
      <c r="B9986" t="s">
        <v>44</v>
      </c>
      <c r="C9986">
        <v>7648876604</v>
      </c>
      <c r="D9986" s="2">
        <v>1</v>
      </c>
      <c r="E9986" t="str">
        <f>"4574674200892032"</f>
        <v>4574674200892032</v>
      </c>
      <c r="F9986" t="str">
        <f>"551"</f>
        <v>551</v>
      </c>
      <c r="G9986">
        <v>1</v>
      </c>
      <c r="H9986">
        <v>2023</v>
      </c>
      <c r="I9986" t="s">
        <v>10101</v>
      </c>
    </row>
    <row r="9987" spans="1:9" x14ac:dyDescent="0.3">
      <c r="A9987" t="s">
        <v>10152</v>
      </c>
      <c r="B9987" t="s">
        <v>44</v>
      </c>
      <c r="C9987">
        <v>7648876604</v>
      </c>
      <c r="D9987" s="2">
        <v>1</v>
      </c>
      <c r="E9987" t="str">
        <f>"4574674200892081"</f>
        <v>4574674200892081</v>
      </c>
      <c r="F9987" t="str">
        <f>"241"</f>
        <v>241</v>
      </c>
      <c r="G9987">
        <v>1</v>
      </c>
      <c r="H9987">
        <v>2023</v>
      </c>
      <c r="I9987" t="s">
        <v>10102</v>
      </c>
    </row>
    <row r="9988" spans="1:9" x14ac:dyDescent="0.3">
      <c r="A9988" t="s">
        <v>10152</v>
      </c>
      <c r="B9988" t="s">
        <v>44</v>
      </c>
      <c r="C9988">
        <v>7648876604</v>
      </c>
      <c r="D9988" s="2">
        <v>1</v>
      </c>
      <c r="E9988" t="str">
        <f>"4574674200892040"</f>
        <v>4574674200892040</v>
      </c>
      <c r="F9988" t="str">
        <f>"826"</f>
        <v>826</v>
      </c>
      <c r="G9988">
        <v>1</v>
      </c>
      <c r="H9988">
        <v>2023</v>
      </c>
      <c r="I9988" t="s">
        <v>10103</v>
      </c>
    </row>
    <row r="9989" spans="1:9" x14ac:dyDescent="0.3">
      <c r="A9989" t="s">
        <v>10152</v>
      </c>
      <c r="B9989" t="s">
        <v>44</v>
      </c>
      <c r="C9989">
        <v>7648876604</v>
      </c>
      <c r="D9989" s="2">
        <v>1</v>
      </c>
      <c r="E9989" t="str">
        <f>"4574674200892099"</f>
        <v>4574674200892099</v>
      </c>
      <c r="F9989" t="str">
        <f>"734"</f>
        <v>734</v>
      </c>
      <c r="G9989">
        <v>1</v>
      </c>
      <c r="H9989">
        <v>2023</v>
      </c>
      <c r="I9989" t="s">
        <v>10104</v>
      </c>
    </row>
    <row r="9990" spans="1:9" x14ac:dyDescent="0.3">
      <c r="A9990" t="s">
        <v>10152</v>
      </c>
      <c r="B9990" t="s">
        <v>44</v>
      </c>
      <c r="C9990">
        <v>7648876604</v>
      </c>
      <c r="D9990" s="2">
        <v>1</v>
      </c>
      <c r="E9990" t="str">
        <f>"4574674200891901"</f>
        <v>4574674200891901</v>
      </c>
      <c r="F9990" t="str">
        <f>"447"</f>
        <v>447</v>
      </c>
      <c r="G9990">
        <v>1</v>
      </c>
      <c r="H9990">
        <v>2023</v>
      </c>
      <c r="I9990" t="s">
        <v>10105</v>
      </c>
    </row>
    <row r="9991" spans="1:9" x14ac:dyDescent="0.3">
      <c r="A9991" t="s">
        <v>10152</v>
      </c>
      <c r="B9991" t="s">
        <v>44</v>
      </c>
      <c r="C9991">
        <v>7648876604</v>
      </c>
      <c r="D9991" s="2">
        <v>1</v>
      </c>
      <c r="E9991" t="str">
        <f>"4574674200892123"</f>
        <v>4574674200892123</v>
      </c>
      <c r="F9991" t="str">
        <f>"130"</f>
        <v>130</v>
      </c>
      <c r="G9991">
        <v>1</v>
      </c>
      <c r="H9991">
        <v>2023</v>
      </c>
      <c r="I9991" t="s">
        <v>10106</v>
      </c>
    </row>
    <row r="9992" spans="1:9" x14ac:dyDescent="0.3">
      <c r="A9992" t="s">
        <v>10152</v>
      </c>
      <c r="B9992" t="s">
        <v>44</v>
      </c>
      <c r="C9992">
        <v>7648876604</v>
      </c>
      <c r="D9992" s="2">
        <v>1</v>
      </c>
      <c r="E9992" t="str">
        <f>"4574674200892172"</f>
        <v>4574674200892172</v>
      </c>
      <c r="F9992" t="str">
        <f>"255"</f>
        <v>255</v>
      </c>
      <c r="G9992">
        <v>1</v>
      </c>
      <c r="H9992">
        <v>2023</v>
      </c>
      <c r="I9992" t="s">
        <v>10107</v>
      </c>
    </row>
    <row r="9993" spans="1:9" x14ac:dyDescent="0.3">
      <c r="A9993" t="s">
        <v>10152</v>
      </c>
      <c r="B9993" t="s">
        <v>44</v>
      </c>
      <c r="C9993">
        <v>7648876604</v>
      </c>
      <c r="D9993" s="2">
        <v>1</v>
      </c>
      <c r="E9993" t="str">
        <f>"4574674200892164"</f>
        <v>4574674200892164</v>
      </c>
      <c r="F9993" t="str">
        <f>"592"</f>
        <v>592</v>
      </c>
      <c r="G9993">
        <v>1</v>
      </c>
      <c r="H9993">
        <v>2023</v>
      </c>
      <c r="I9993" t="s">
        <v>10108</v>
      </c>
    </row>
    <row r="9994" spans="1:9" x14ac:dyDescent="0.3">
      <c r="A9994" t="s">
        <v>10152</v>
      </c>
      <c r="B9994" t="s">
        <v>44</v>
      </c>
      <c r="C9994">
        <v>7648876604</v>
      </c>
      <c r="D9994" s="2">
        <v>1</v>
      </c>
      <c r="E9994" t="str">
        <f>"4574674200892180"</f>
        <v>4574674200892180</v>
      </c>
      <c r="F9994" t="str">
        <f>"888"</f>
        <v>888</v>
      </c>
      <c r="G9994">
        <v>1</v>
      </c>
      <c r="H9994">
        <v>2023</v>
      </c>
      <c r="I9994" t="s">
        <v>10109</v>
      </c>
    </row>
    <row r="9995" spans="1:9" x14ac:dyDescent="0.3">
      <c r="A9995" t="s">
        <v>10153</v>
      </c>
      <c r="B9995" t="s">
        <v>45</v>
      </c>
      <c r="C9995">
        <v>7648876604</v>
      </c>
      <c r="D9995" s="2">
        <v>1</v>
      </c>
      <c r="E9995" t="str">
        <f>"4574674200892206"</f>
        <v>4574674200892206</v>
      </c>
      <c r="F9995" t="str">
        <f>"113"</f>
        <v>113</v>
      </c>
      <c r="G9995">
        <v>1</v>
      </c>
      <c r="H9995">
        <v>2023</v>
      </c>
      <c r="I9995" t="s">
        <v>10110</v>
      </c>
    </row>
    <row r="9996" spans="1:9" x14ac:dyDescent="0.3">
      <c r="A9996" t="s">
        <v>10153</v>
      </c>
      <c r="B9996" t="s">
        <v>45</v>
      </c>
      <c r="C9996">
        <v>7648876604</v>
      </c>
      <c r="D9996" s="2">
        <v>1</v>
      </c>
      <c r="E9996" t="str">
        <f>"4574674200892198"</f>
        <v>4574674200892198</v>
      </c>
      <c r="F9996" t="str">
        <f>"309"</f>
        <v>309</v>
      </c>
      <c r="G9996">
        <v>1</v>
      </c>
      <c r="H9996">
        <v>2023</v>
      </c>
      <c r="I9996" t="s">
        <v>10111</v>
      </c>
    </row>
    <row r="9997" spans="1:9" x14ac:dyDescent="0.3">
      <c r="A9997" t="s">
        <v>10153</v>
      </c>
      <c r="B9997" t="s">
        <v>45</v>
      </c>
      <c r="C9997">
        <v>7648876604</v>
      </c>
      <c r="D9997" s="2">
        <v>1</v>
      </c>
      <c r="E9997" t="str">
        <f>"4574674200892461"</f>
        <v>4574674200892461</v>
      </c>
      <c r="F9997" t="str">
        <f>"145"</f>
        <v>145</v>
      </c>
      <c r="G9997">
        <v>1</v>
      </c>
      <c r="H9997">
        <v>2023</v>
      </c>
      <c r="I9997" t="s">
        <v>10112</v>
      </c>
    </row>
    <row r="9998" spans="1:9" x14ac:dyDescent="0.3">
      <c r="A9998" t="s">
        <v>10153</v>
      </c>
      <c r="B9998" t="s">
        <v>45</v>
      </c>
      <c r="C9998">
        <v>7648876604</v>
      </c>
      <c r="D9998" s="2">
        <v>1</v>
      </c>
      <c r="E9998" t="str">
        <f>"4574674200892222"</f>
        <v>4574674200892222</v>
      </c>
      <c r="F9998" t="str">
        <f>"981"</f>
        <v>981</v>
      </c>
      <c r="G9998">
        <v>1</v>
      </c>
      <c r="H9998">
        <v>2023</v>
      </c>
      <c r="I9998" t="s">
        <v>10113</v>
      </c>
    </row>
    <row r="9999" spans="1:9" x14ac:dyDescent="0.3">
      <c r="A9999" t="s">
        <v>10153</v>
      </c>
      <c r="B9999" t="s">
        <v>45</v>
      </c>
      <c r="C9999">
        <v>7648876604</v>
      </c>
      <c r="D9999" s="2">
        <v>1</v>
      </c>
      <c r="E9999" t="str">
        <f>"4574674200892230"</f>
        <v>4574674200892230</v>
      </c>
      <c r="F9999" t="str">
        <f>"112"</f>
        <v>112</v>
      </c>
      <c r="G9999">
        <v>1</v>
      </c>
      <c r="H9999">
        <v>2023</v>
      </c>
      <c r="I9999" t="s">
        <v>10114</v>
      </c>
    </row>
    <row r="10000" spans="1:9" x14ac:dyDescent="0.3">
      <c r="A10000" t="s">
        <v>10153</v>
      </c>
      <c r="B10000" t="s">
        <v>45</v>
      </c>
      <c r="C10000">
        <v>7648876604</v>
      </c>
      <c r="D10000" s="2">
        <v>1</v>
      </c>
      <c r="E10000" t="str">
        <f>"4574674200892255"</f>
        <v>4574674200892255</v>
      </c>
      <c r="F10000" t="str">
        <f>"573"</f>
        <v>573</v>
      </c>
      <c r="G10000">
        <v>1</v>
      </c>
      <c r="H10000">
        <v>2023</v>
      </c>
      <c r="I10000" t="s">
        <v>10115</v>
      </c>
    </row>
    <row r="10001" spans="1:9" x14ac:dyDescent="0.3">
      <c r="A10001" t="s">
        <v>10153</v>
      </c>
      <c r="B10001" t="s">
        <v>45</v>
      </c>
      <c r="C10001">
        <v>7648876604</v>
      </c>
      <c r="D10001" s="2">
        <v>1</v>
      </c>
      <c r="E10001" t="str">
        <f>"4574674200892263"</f>
        <v>4574674200892263</v>
      </c>
      <c r="F10001" t="str">
        <f>"987"</f>
        <v>987</v>
      </c>
      <c r="G10001">
        <v>1</v>
      </c>
      <c r="H10001">
        <v>2023</v>
      </c>
      <c r="I10001" t="s">
        <v>10116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AHUJA</cp:lastModifiedBy>
  <dcterms:created xsi:type="dcterms:W3CDTF">2022-02-15T12:45:57Z</dcterms:created>
  <dcterms:modified xsi:type="dcterms:W3CDTF">2022-03-15T13:51:45Z</dcterms:modified>
</cp:coreProperties>
</file>