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4896" yWindow="1776" windowWidth="14400" windowHeight="7812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/>
  <c r="M3"/>
  <c r="O3"/>
  <c r="R3" s="1"/>
  <c r="U3" s="1"/>
  <c r="H4"/>
  <c r="K4"/>
  <c r="M4" s="1"/>
  <c r="O4"/>
  <c r="R4" s="1"/>
  <c r="U4" s="1"/>
  <c r="H5"/>
  <c r="K5"/>
  <c r="M5" s="1"/>
  <c r="O5"/>
  <c r="R5" s="1"/>
  <c r="U5" s="1"/>
  <c r="H6"/>
  <c r="P6" s="1"/>
  <c r="Q6" s="1"/>
  <c r="K6"/>
  <c r="M6" s="1"/>
  <c r="O6"/>
  <c r="T6" s="1"/>
  <c r="H7"/>
  <c r="P7" s="1"/>
  <c r="Q7" s="1"/>
  <c r="K7"/>
  <c r="M7" s="1"/>
  <c r="O7"/>
  <c r="R7" s="1"/>
  <c r="U7" s="1"/>
  <c r="A10"/>
  <c r="T10" s="1"/>
  <c r="H10"/>
  <c r="K10"/>
  <c r="M10" s="1"/>
  <c r="O10"/>
  <c r="A11"/>
  <c r="H11"/>
  <c r="K11"/>
  <c r="M11" s="1"/>
  <c r="O11"/>
  <c r="R11" s="1"/>
  <c r="U11" s="1"/>
  <c r="A12"/>
  <c r="H12"/>
  <c r="K12"/>
  <c r="M12" s="1"/>
  <c r="O12"/>
  <c r="A13"/>
  <c r="H13"/>
  <c r="K13"/>
  <c r="M13" s="1"/>
  <c r="O13"/>
  <c r="T13" s="1"/>
  <c r="A14"/>
  <c r="H14"/>
  <c r="K14"/>
  <c r="M14" s="1"/>
  <c r="O14"/>
  <c r="R14"/>
  <c r="U14" s="1"/>
  <c r="T14"/>
  <c r="A17"/>
  <c r="H17"/>
  <c r="K17"/>
  <c r="M17" s="1"/>
  <c r="O17"/>
  <c r="A18"/>
  <c r="H18"/>
  <c r="K18"/>
  <c r="M18" s="1"/>
  <c r="O18"/>
  <c r="T18" s="1"/>
  <c r="A19"/>
  <c r="R19" s="1"/>
  <c r="U19" s="1"/>
  <c r="H19"/>
  <c r="K19"/>
  <c r="M19" s="1"/>
  <c r="O19"/>
  <c r="A20"/>
  <c r="H20"/>
  <c r="K20"/>
  <c r="M20" s="1"/>
  <c r="O20"/>
  <c r="R20" s="1"/>
  <c r="U20" s="1"/>
  <c r="A21"/>
  <c r="H21"/>
  <c r="K21"/>
  <c r="M21" s="1"/>
  <c r="O21"/>
  <c r="P18" l="1"/>
  <c r="Q18" s="1"/>
  <c r="T7"/>
  <c r="P4"/>
  <c r="Q4" s="1"/>
  <c r="P5"/>
  <c r="Q5" s="1"/>
  <c r="P11"/>
  <c r="Q11" s="1"/>
  <c r="P3"/>
  <c r="Q3" s="1"/>
  <c r="P19"/>
  <c r="Q19" s="1"/>
  <c r="P17"/>
  <c r="Q17" s="1"/>
  <c r="R17"/>
  <c r="U17" s="1"/>
  <c r="T19"/>
  <c r="P10"/>
  <c r="Q10" s="1"/>
  <c r="P14"/>
  <c r="Q14" s="1"/>
  <c r="P12"/>
  <c r="Q12" s="1"/>
  <c r="R10"/>
  <c r="U10" s="1"/>
  <c r="P21"/>
  <c r="Q21" s="1"/>
  <c r="R12"/>
  <c r="U12" s="1"/>
  <c r="T21"/>
  <c r="T20"/>
  <c r="R13"/>
  <c r="U13" s="1"/>
  <c r="P20"/>
  <c r="Q20" s="1"/>
  <c r="P13"/>
  <c r="Q13" s="1"/>
  <c r="T17"/>
  <c r="T11"/>
  <c r="T3"/>
  <c r="R18"/>
  <c r="U18" s="1"/>
  <c r="T4"/>
  <c r="T12"/>
  <c r="R6"/>
  <c r="U6" s="1"/>
  <c r="T5"/>
  <c r="R21"/>
  <c r="U21" s="1"/>
  <c r="R6" i="1" l="1"/>
  <c r="Q6"/>
  <c r="P6"/>
  <c r="N6"/>
  <c r="M6"/>
  <c r="L6"/>
  <c r="D6"/>
  <c r="E6" s="1"/>
  <c r="F6" s="1"/>
  <c r="R5"/>
  <c r="Q5"/>
  <c r="P5"/>
  <c r="N5"/>
  <c r="M5"/>
  <c r="L5"/>
  <c r="O5" s="1"/>
  <c r="T5" s="1"/>
  <c r="D5"/>
  <c r="E5" s="1"/>
  <c r="F5" s="1"/>
  <c r="R4"/>
  <c r="Q4"/>
  <c r="P4"/>
  <c r="N4"/>
  <c r="M4"/>
  <c r="L4"/>
  <c r="O4" s="1"/>
  <c r="T4" s="1"/>
  <c r="D4"/>
  <c r="E4" s="1"/>
  <c r="F4" s="1"/>
  <c r="R3"/>
  <c r="Q3"/>
  <c r="P3"/>
  <c r="S3" s="1"/>
  <c r="U3" s="1"/>
  <c r="W3" s="1"/>
  <c r="Y3" s="1"/>
  <c r="N3"/>
  <c r="M3"/>
  <c r="L3"/>
  <c r="D3"/>
  <c r="E3" s="1"/>
  <c r="F3" s="1"/>
  <c r="R2"/>
  <c r="Q2"/>
  <c r="P2"/>
  <c r="N2"/>
  <c r="M2"/>
  <c r="L2"/>
  <c r="D2"/>
  <c r="E2" s="1"/>
  <c r="F2" s="1"/>
  <c r="O3" l="1"/>
  <c r="T3" s="1"/>
  <c r="V3" s="1"/>
  <c r="X3" s="1"/>
  <c r="Z3" s="1"/>
  <c r="S6"/>
  <c r="U6" s="1"/>
  <c r="W6" s="1"/>
  <c r="Y6" s="1"/>
  <c r="S2"/>
  <c r="U2" s="1"/>
  <c r="W2" s="1"/>
  <c r="Y2" s="1"/>
  <c r="S5"/>
  <c r="U5" s="1"/>
  <c r="W5" s="1"/>
  <c r="Y5" s="1"/>
  <c r="O2"/>
  <c r="T2" s="1"/>
  <c r="V2" s="1"/>
  <c r="X2" s="1"/>
  <c r="Z2" s="1"/>
  <c r="V4"/>
  <c r="X4" s="1"/>
  <c r="S4"/>
  <c r="U4" s="1"/>
  <c r="W4" s="1"/>
  <c r="Y4" s="1"/>
  <c r="V5"/>
  <c r="X5" s="1"/>
  <c r="Z5" s="1"/>
  <c r="O6"/>
  <c r="T6" s="1"/>
  <c r="V6" s="1"/>
  <c r="X6" s="1"/>
  <c r="Z6" s="1"/>
  <c r="Z4" l="1"/>
  <c r="AB2"/>
  <c r="AC2" s="1"/>
  <c r="AD2" s="1"/>
  <c r="AA2"/>
  <c r="AA5"/>
  <c r="AB5"/>
  <c r="AC5" s="1"/>
  <c r="AD5" s="1"/>
  <c r="AB6"/>
  <c r="AC6" s="1"/>
  <c r="AD6" s="1"/>
  <c r="AA6"/>
  <c r="AA3"/>
  <c r="AB3"/>
  <c r="AC3" s="1"/>
  <c r="AD3" s="1"/>
  <c r="AA4" l="1"/>
  <c r="AB4"/>
  <c r="AC4" s="1"/>
  <c r="AD4" s="1"/>
</calcChain>
</file>

<file path=xl/sharedStrings.xml><?xml version="1.0" encoding="utf-8"?>
<sst xmlns="http://schemas.openxmlformats.org/spreadsheetml/2006/main" count="104" uniqueCount="60">
  <si>
    <t>Conductor</t>
  </si>
  <si>
    <t>I</t>
  </si>
  <si>
    <t>R20(ohm/km)</t>
  </si>
  <si>
    <t>R65(ohm/km)</t>
  </si>
  <si>
    <t>Ploss(MW)</t>
  </si>
  <si>
    <t>Eff(%)</t>
  </si>
  <si>
    <t>GMD</t>
  </si>
  <si>
    <t>Rad(mm)</t>
  </si>
  <si>
    <t>Daa'</t>
  </si>
  <si>
    <t>Dbb'</t>
  </si>
  <si>
    <t>Dcc'</t>
  </si>
  <si>
    <t>GMRa</t>
  </si>
  <si>
    <t>GMRb</t>
  </si>
  <si>
    <t>GMRc</t>
  </si>
  <si>
    <t>GMRL</t>
  </si>
  <si>
    <t>GMRa'</t>
  </si>
  <si>
    <t>GMRb'</t>
  </si>
  <si>
    <t>GMRc'</t>
  </si>
  <si>
    <t>GMRC</t>
  </si>
  <si>
    <t>L(mH/km)</t>
  </si>
  <si>
    <t>C</t>
  </si>
  <si>
    <t>z</t>
  </si>
  <si>
    <t>y</t>
  </si>
  <si>
    <t>Z(B)</t>
  </si>
  <si>
    <t>Y</t>
  </si>
  <si>
    <t>A</t>
  </si>
  <si>
    <t>Mag(A)</t>
  </si>
  <si>
    <t>VsFL(v)</t>
  </si>
  <si>
    <t>Vrnl(v)</t>
  </si>
  <si>
    <t>VR%</t>
  </si>
  <si>
    <t>Deer</t>
  </si>
  <si>
    <t>Zebra</t>
  </si>
  <si>
    <t>Elk</t>
  </si>
  <si>
    <t>Camel</t>
  </si>
  <si>
    <t>Moose</t>
  </si>
  <si>
    <r>
      <rPr>
        <b/>
        <sz val="11"/>
        <color rgb="FF000000"/>
        <rFont val="Calibri"/>
        <family val="2"/>
        <scheme val="minor"/>
      </rPr>
      <t>A(m</t>
    </r>
    <r>
      <rPr>
        <b/>
        <sz val="11"/>
        <color rgb="FF000000"/>
        <rFont val="Calibri"/>
        <family val="2"/>
      </rPr>
      <t>²</t>
    </r>
    <r>
      <rPr>
        <b/>
        <sz val="11"/>
        <color rgb="FF000000"/>
        <rFont val="Calibri"/>
        <family val="2"/>
        <scheme val="minor"/>
      </rPr>
      <t>)</t>
    </r>
  </si>
  <si>
    <t>E(kg/m2)</t>
  </si>
  <si>
    <t>α(/C)</t>
  </si>
  <si>
    <t>ϴ1</t>
  </si>
  <si>
    <t>ϴ2</t>
  </si>
  <si>
    <t>ϴ3</t>
  </si>
  <si>
    <t>UTS(kg)</t>
  </si>
  <si>
    <t>T1(kg)</t>
  </si>
  <si>
    <t>Dia(mm)</t>
  </si>
  <si>
    <t>Wp</t>
  </si>
  <si>
    <t>Ww</t>
  </si>
  <si>
    <t>Wc</t>
  </si>
  <si>
    <t>W1</t>
  </si>
  <si>
    <t>l(km)</t>
  </si>
  <si>
    <t>W2</t>
  </si>
  <si>
    <t>k1</t>
  </si>
  <si>
    <t>k2</t>
  </si>
  <si>
    <t>k3</t>
  </si>
  <si>
    <t>T2(kg)</t>
  </si>
  <si>
    <t>k1'</t>
  </si>
  <si>
    <t>k2'</t>
  </si>
  <si>
    <t>T3((kg)</t>
  </si>
  <si>
    <t>ELK</t>
  </si>
  <si>
    <t>CAMEL</t>
  </si>
  <si>
    <t>MOOSE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</si>
</sst>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307278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7855560" y="31913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590036</xdr:colOff>
      <xdr:row>8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8141719" y="18190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75432</xdr:colOff>
      <xdr:row>8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846315" y="17965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590036</xdr:colOff>
      <xdr:row>13</xdr:row>
      <xdr:rowOff>163657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8139698" y="17990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590036</xdr:colOff>
      <xdr:row>15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8139698" y="17990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590036</xdr:colOff>
      <xdr:row>22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/>
      </xdr:nvSpPr>
      <xdr:spPr>
        <a:xfrm>
          <a:off x="8139698" y="17990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590036</xdr:colOff>
      <xdr:row>22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8139698" y="17990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75432</xdr:colOff>
      <xdr:row>15</xdr:row>
      <xdr:rowOff>0</xdr:rowOff>
    </xdr:from>
    <xdr:ext cx="65" cy="172227"/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xmlns="" id="{681710CB-1F4C-44D2-BA99-010A75AB606B}"/>
            </a:ext>
            <a:ext uri="{147F2762-F138-4A5C-976F-8EAC2B608ADB}">
              <a16:predDERef xmlns:a16="http://schemas.microsoft.com/office/drawing/2014/main" xmlns="" pred="{00000000-0008-0000-0100-000008000000}"/>
            </a:ext>
          </a:extLst>
        </xdr:cNvPr>
        <xdr:cNvSpPr txBox="1"/>
      </xdr:nvSpPr>
      <xdr:spPr>
        <a:xfrm>
          <a:off x="7543032" y="146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"/>
  <sheetViews>
    <sheetView workbookViewId="0">
      <selection activeCell="B4" sqref="B4:B6"/>
    </sheetView>
  </sheetViews>
  <sheetFormatPr defaultRowHeight="14.4"/>
  <cols>
    <col min="3" max="3" width="12.21875" customWidth="1"/>
    <col min="4" max="4" width="15" customWidth="1"/>
    <col min="5" max="5" width="14.44140625" customWidth="1"/>
    <col min="20" max="20" width="12.44140625" customWidth="1"/>
    <col min="21" max="21" width="12.77734375" customWidth="1"/>
    <col min="22" max="22" width="28.5546875" customWidth="1"/>
    <col min="23" max="23" width="23.44140625" customWidth="1"/>
    <col min="24" max="24" width="28.21875" customWidth="1"/>
    <col min="25" max="25" width="24" customWidth="1"/>
    <col min="26" max="26" width="38.5546875" customWidth="1"/>
    <col min="27" max="27" width="13.21875" customWidth="1"/>
    <col min="28" max="28" width="33.77734375" customWidth="1"/>
    <col min="29" max="29" width="33.218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 t="s">
        <v>30</v>
      </c>
      <c r="B2" s="2">
        <v>474.2</v>
      </c>
      <c r="C2" s="2">
        <v>6.7299999999999999E-2</v>
      </c>
      <c r="D2" s="2">
        <f t="shared" ref="D2:D6" si="0">C2*(1+0.004*(65-20))</f>
        <v>7.9413999999999998E-2</v>
      </c>
      <c r="E2" s="2">
        <f t="shared" ref="E2:E6" si="1">3*B2^2*D2*2*102*10^-6</f>
        <v>10.928777720195518</v>
      </c>
      <c r="F2" s="2">
        <f t="shared" ref="F2:F6" si="2">(1-(E2/206))*100</f>
        <v>94.694768096992462</v>
      </c>
      <c r="G2">
        <v>6.3075000000000001</v>
      </c>
      <c r="H2">
        <v>14.945</v>
      </c>
      <c r="I2" s="2">
        <v>10.981999999999999</v>
      </c>
      <c r="J2" s="2">
        <v>8.3132999999999999</v>
      </c>
      <c r="K2" s="2">
        <v>10.9825</v>
      </c>
      <c r="L2" s="2">
        <f t="shared" ref="L2:L6" si="3">SQRT(I2*0.7788*H2*10^-3)</f>
        <v>0.35752107771710467</v>
      </c>
      <c r="M2" s="2">
        <f t="shared" ref="M2:M6" si="4">SQRT(J2*0.7788*H2*10^-3)</f>
        <v>0.31106249968101268</v>
      </c>
      <c r="N2" s="2">
        <f t="shared" ref="N2:N6" si="5">SQRT(K2*0.7788*H2*10^-3)</f>
        <v>0.35752921642153951</v>
      </c>
      <c r="O2">
        <f t="shared" ref="O2:O6" si="6">(L2*M2*N2)^(1/3)</f>
        <v>0.34131361699844992</v>
      </c>
      <c r="P2" s="2">
        <f t="shared" ref="P2:P6" si="7">SQRT(I2*H2*10^-3)</f>
        <v>0.40512465982707102</v>
      </c>
      <c r="Q2" s="2">
        <f t="shared" ref="Q2:Q6" si="8">SQRT(J2*H2*10^-3)</f>
        <v>0.3524801675271958</v>
      </c>
      <c r="R2" s="2">
        <f t="shared" ref="R2:R6" si="9">SQRT(K2*H2*10^-3)</f>
        <v>0.40513388219204777</v>
      </c>
      <c r="S2" s="2">
        <f t="shared" ref="S2:S6" si="10">(P2*Q2*R2)^(1/3)</f>
        <v>0.38675919155249522</v>
      </c>
      <c r="T2">
        <f t="shared" ref="T2:T6" si="11">2*10^-7*LN(G2/O2)*10^6</f>
        <v>0.58333858559041041</v>
      </c>
      <c r="U2">
        <f t="shared" ref="U2:U6" si="12">(2*PI()*8.85*10^-9)/LN(G2/S2)</f>
        <v>1.9918451426237023E-8</v>
      </c>
      <c r="V2" t="str">
        <f t="shared" ref="V2:V6" si="13">COMPLEX(D2,2*PI()*50*T2*10^-3,"i")</f>
        <v>0.079414+0.183261221504629i</v>
      </c>
      <c r="W2" t="str">
        <f t="shared" ref="W2:W6" si="14">COMPLEX(0,2*PI()*50*U2,"i")</f>
        <v>6.25756606715514E-06i</v>
      </c>
      <c r="X2" t="str">
        <f t="shared" ref="X2:Y6" si="15">IMPRODUCT(102,V2)</f>
        <v>8.100228+18.6926445934722i</v>
      </c>
      <c r="Y2" t="str">
        <f t="shared" si="15"/>
        <v>0.000638271738849824i</v>
      </c>
      <c r="Z2" t="str">
        <f t="shared" ref="Z2:Z6" si="16">IMSUM(1,IMPRODUCT(Y2,X2,1/2))</f>
        <v>0.994034506615811+0.00258507330532002i</v>
      </c>
      <c r="AA2">
        <f t="shared" ref="AA2:AA6" si="17">IMABS(Z2)</f>
        <v>0.99403786796426052</v>
      </c>
      <c r="AB2" t="str">
        <f t="shared" ref="AB2:AB6" si="18">IMSUM(IMPRODUCT(Z2,(132*10^3)/SQRT(3)),IMPRODUCT(X2,COMPLEX(450.4901,-148.06833,"i")))</f>
        <v>82172.4650671326+7418.4731450671i</v>
      </c>
      <c r="AC2" t="str">
        <f t="shared" ref="AC2:AC6" si="19">IMDIV(AB2,Z2)</f>
        <v>82684.4551593826+7247.96545725373i</v>
      </c>
      <c r="AD2">
        <f t="shared" ref="AD2:AD6" si="20">(IMABS(AC2)-76.21*10^3)*100/(76.21*10^3)</f>
        <v>8.9115848722272446</v>
      </c>
    </row>
    <row r="3" spans="1:30">
      <c r="A3" s="2" t="s">
        <v>31</v>
      </c>
      <c r="B3" s="2">
        <v>474.2</v>
      </c>
      <c r="C3" s="2">
        <v>6.7400000000000002E-2</v>
      </c>
      <c r="D3" s="2">
        <f t="shared" si="0"/>
        <v>7.9531999999999992E-2</v>
      </c>
      <c r="E3" s="2">
        <f t="shared" si="1"/>
        <v>10.945016617253758</v>
      </c>
      <c r="F3" s="2">
        <f t="shared" si="2"/>
        <v>94.686885137255459</v>
      </c>
      <c r="G3">
        <v>6.3075000000000001</v>
      </c>
      <c r="H3">
        <v>14.31</v>
      </c>
      <c r="I3" s="2">
        <v>10.981999999999999</v>
      </c>
      <c r="J3" s="2">
        <v>8.3132999999999999</v>
      </c>
      <c r="K3" s="2">
        <v>10.9825</v>
      </c>
      <c r="L3" s="2">
        <f t="shared" si="3"/>
        <v>0.34984325732533422</v>
      </c>
      <c r="M3" s="2">
        <f t="shared" si="4"/>
        <v>0.30438238443181959</v>
      </c>
      <c r="N3" s="2">
        <f t="shared" si="5"/>
        <v>0.34985122124983359</v>
      </c>
      <c r="O3">
        <f t="shared" si="6"/>
        <v>0.33398385433015432</v>
      </c>
      <c r="P3" s="2">
        <f t="shared" si="7"/>
        <v>0.396424545153299</v>
      </c>
      <c r="Q3" s="2">
        <f t="shared" si="8"/>
        <v>0.34491060146072633</v>
      </c>
      <c r="R3" s="2">
        <f t="shared" si="9"/>
        <v>0.39643356946656272</v>
      </c>
      <c r="S3" s="2">
        <f t="shared" si="10"/>
        <v>0.37845347814793873</v>
      </c>
      <c r="T3">
        <f t="shared" si="11"/>
        <v>0.58768040580716452</v>
      </c>
      <c r="U3">
        <f t="shared" si="12"/>
        <v>1.9764754319228625E-8</v>
      </c>
      <c r="V3" t="str">
        <f t="shared" si="13"/>
        <v>0.079532+0.184625244554246i</v>
      </c>
      <c r="W3" t="str">
        <f t="shared" si="14"/>
        <v>6.20928069692958E-06i</v>
      </c>
      <c r="X3" t="str">
        <f t="shared" si="15"/>
        <v>8.112264+18.8317749445331i</v>
      </c>
      <c r="Y3" t="str">
        <f t="shared" si="15"/>
        <v>0.000633346631086817i</v>
      </c>
      <c r="Z3" t="str">
        <f t="shared" si="16"/>
        <v>0.994036479390747+0.00256893753744343i</v>
      </c>
      <c r="AA3">
        <f t="shared" si="17"/>
        <v>0.99403979890124217</v>
      </c>
      <c r="AB3" t="str">
        <f t="shared" si="18"/>
        <v>82198.6383103526+7478.1381297393i</v>
      </c>
      <c r="AC3" t="str">
        <f t="shared" si="19"/>
        <v>82710.6620508347+7309.24845907395i</v>
      </c>
      <c r="AD3">
        <f t="shared" si="20"/>
        <v>8.9528904838609122</v>
      </c>
    </row>
    <row r="4" spans="1:30">
      <c r="A4" s="2" t="s">
        <v>32</v>
      </c>
      <c r="B4" s="2">
        <v>508.74</v>
      </c>
      <c r="C4" s="2">
        <v>6.0600000000000001E-2</v>
      </c>
      <c r="D4" s="2">
        <f t="shared" si="0"/>
        <v>7.1508000000000002E-2</v>
      </c>
      <c r="E4" s="2">
        <f t="shared" si="1"/>
        <v>11.32655465363449</v>
      </c>
      <c r="F4" s="2">
        <f t="shared" si="2"/>
        <v>94.501672498235692</v>
      </c>
      <c r="G4">
        <v>6.3075000000000001</v>
      </c>
      <c r="H4">
        <v>15.75</v>
      </c>
      <c r="I4" s="2">
        <v>10.981999999999999</v>
      </c>
      <c r="J4" s="2">
        <v>8.3132999999999999</v>
      </c>
      <c r="K4" s="2">
        <v>10.9825</v>
      </c>
      <c r="L4" s="2">
        <f t="shared" si="3"/>
        <v>0.36702358262106261</v>
      </c>
      <c r="M4" s="2">
        <f t="shared" si="4"/>
        <v>0.31933018825347537</v>
      </c>
      <c r="N4" s="2">
        <f t="shared" si="5"/>
        <v>0.36703193764303399</v>
      </c>
      <c r="O4">
        <f t="shared" si="6"/>
        <v>0.3503853459718162</v>
      </c>
      <c r="P4" s="2">
        <f t="shared" si="7"/>
        <v>0.41589241397265231</v>
      </c>
      <c r="Q4" s="2">
        <f t="shared" si="8"/>
        <v>0.36184869075346948</v>
      </c>
      <c r="R4" s="2">
        <f t="shared" si="9"/>
        <v>0.41590188145763418</v>
      </c>
      <c r="S4" s="2">
        <f t="shared" si="10"/>
        <v>0.39703881237330302</v>
      </c>
      <c r="T4">
        <f t="shared" si="11"/>
        <v>0.5780922286368364</v>
      </c>
      <c r="U4">
        <f t="shared" si="12"/>
        <v>2.0107387953874166E-8</v>
      </c>
      <c r="V4" t="str">
        <f t="shared" si="13"/>
        <v>0.071508+0.181613029858284i</v>
      </c>
      <c r="W4" t="str">
        <f t="shared" si="14"/>
        <v>0.0000063169222278771i</v>
      </c>
      <c r="X4" t="str">
        <f t="shared" si="15"/>
        <v>7.293816+18.524529045545i</v>
      </c>
      <c r="Y4" t="str">
        <f t="shared" si="15"/>
        <v>0.000644326067243464i</v>
      </c>
      <c r="Z4" t="str">
        <f t="shared" si="16"/>
        <v>0.994032081526273+0.00234979788923873i</v>
      </c>
      <c r="AA4">
        <f t="shared" si="17"/>
        <v>0.9940348588724518</v>
      </c>
      <c r="AB4" t="str">
        <f t="shared" si="18"/>
        <v>81784.1070395378+7444.21243832709i</v>
      </c>
      <c r="AC4" t="str">
        <f t="shared" si="19"/>
        <v>82292.3614488958+7294.37425194647i</v>
      </c>
      <c r="AD4">
        <f t="shared" si="20"/>
        <v>8.4044281168013288</v>
      </c>
    </row>
    <row r="5" spans="1:30">
      <c r="A5" s="2" t="s">
        <v>33</v>
      </c>
      <c r="B5" s="9">
        <v>508.74</v>
      </c>
      <c r="C5" s="2">
        <v>6.0699999999999997E-2</v>
      </c>
      <c r="D5" s="2">
        <f t="shared" si="0"/>
        <v>7.1625999999999995E-2</v>
      </c>
      <c r="E5" s="2">
        <f t="shared" si="1"/>
        <v>11.34524533788141</v>
      </c>
      <c r="F5" s="2">
        <f t="shared" si="2"/>
        <v>94.492599350543003</v>
      </c>
      <c r="G5">
        <v>6.3075000000000001</v>
      </c>
      <c r="H5">
        <v>15.074999999999999</v>
      </c>
      <c r="I5" s="2">
        <v>10.981999999999999</v>
      </c>
      <c r="J5" s="2">
        <v>8.3132999999999999</v>
      </c>
      <c r="K5" s="2">
        <v>10.9825</v>
      </c>
      <c r="L5" s="2">
        <f t="shared" si="3"/>
        <v>0.35907267038859975</v>
      </c>
      <c r="M5" s="2">
        <f t="shared" si="4"/>
        <v>0.31241246846596887</v>
      </c>
      <c r="N5" s="2">
        <f t="shared" si="5"/>
        <v>0.35908084441390076</v>
      </c>
      <c r="O5">
        <f t="shared" si="6"/>
        <v>0.34279487150293336</v>
      </c>
      <c r="P5" s="2">
        <f t="shared" si="7"/>
        <v>0.40688284554647908</v>
      </c>
      <c r="Q5" s="2">
        <f t="shared" si="8"/>
        <v>0.35400988333660971</v>
      </c>
      <c r="R5" s="2">
        <f t="shared" si="9"/>
        <v>0.40689210793526087</v>
      </c>
      <c r="S5" s="2">
        <f t="shared" si="10"/>
        <v>0.38843767364669224</v>
      </c>
      <c r="T5">
        <f t="shared" si="11"/>
        <v>0.58247249090267572</v>
      </c>
      <c r="U5">
        <f t="shared" si="12"/>
        <v>1.9949396931820187E-8</v>
      </c>
      <c r="V5" t="str">
        <f t="shared" si="13"/>
        <v>0.071626+0.182989129833799i</v>
      </c>
      <c r="W5" t="str">
        <f t="shared" si="14"/>
        <v>6.26728788445531E-06i</v>
      </c>
      <c r="X5" t="str">
        <f t="shared" si="15"/>
        <v>7.305852+18.6648912430475i</v>
      </c>
      <c r="Y5" t="str">
        <f t="shared" si="15"/>
        <v>0.000639263364214442i</v>
      </c>
      <c r="Z5" t="str">
        <f t="shared" si="16"/>
        <v>0.994034109415636+0.0023351817639864i</v>
      </c>
      <c r="AA5">
        <f t="shared" si="17"/>
        <v>0.99403685231263295</v>
      </c>
      <c r="AB5" t="str">
        <f t="shared" si="18"/>
        <v>81810.4668804868+7504.54816994827i</v>
      </c>
      <c r="AC5" t="str">
        <f t="shared" si="19"/>
        <v>82318.7496100366+7356.20524261834i</v>
      </c>
      <c r="AD5">
        <f t="shared" si="20"/>
        <v>8.4461098199693883</v>
      </c>
    </row>
    <row r="6" spans="1:30">
      <c r="A6" s="2" t="s">
        <v>34</v>
      </c>
      <c r="B6" s="9">
        <v>508.74</v>
      </c>
      <c r="C6" s="2">
        <v>5.4699999999999999E-2</v>
      </c>
      <c r="D6" s="2">
        <f t="shared" si="0"/>
        <v>6.4545999999999992E-2</v>
      </c>
      <c r="E6" s="2">
        <f t="shared" si="1"/>
        <v>10.223804283066114</v>
      </c>
      <c r="F6" s="2">
        <f t="shared" si="2"/>
        <v>95.036988212103822</v>
      </c>
      <c r="G6">
        <v>6.3075000000000001</v>
      </c>
      <c r="H6">
        <v>15.885</v>
      </c>
      <c r="I6" s="2">
        <v>10.981999999999999</v>
      </c>
      <c r="J6" s="2">
        <v>8.3132999999999999</v>
      </c>
      <c r="K6" s="2">
        <v>10.9825</v>
      </c>
      <c r="L6" s="2">
        <f t="shared" si="3"/>
        <v>0.36859318457616658</v>
      </c>
      <c r="M6" s="2">
        <f t="shared" si="4"/>
        <v>0.32069582608041536</v>
      </c>
      <c r="N6" s="2">
        <f t="shared" si="5"/>
        <v>0.36860157532897225</v>
      </c>
      <c r="O6">
        <f t="shared" si="6"/>
        <v>0.35188379334718534</v>
      </c>
      <c r="P6" s="2">
        <f t="shared" si="7"/>
        <v>0.41767100689418218</v>
      </c>
      <c r="Q6" s="2">
        <f t="shared" si="8"/>
        <v>0.36339616192249474</v>
      </c>
      <c r="R6" s="2">
        <f t="shared" si="9"/>
        <v>0.41768051486752406</v>
      </c>
      <c r="S6" s="2">
        <f t="shared" si="10"/>
        <v>0.39873677655234235</v>
      </c>
      <c r="T6">
        <f t="shared" si="11"/>
        <v>0.57723873839185269</v>
      </c>
      <c r="U6">
        <f t="shared" si="12"/>
        <v>2.0138464119674069E-8</v>
      </c>
      <c r="V6" t="str">
        <f t="shared" si="13"/>
        <v>0.064546+0.181344897989928i</v>
      </c>
      <c r="W6" t="str">
        <f t="shared" si="14"/>
        <v>6.32668509329497E-06i</v>
      </c>
      <c r="X6" t="str">
        <f t="shared" si="15"/>
        <v>6.583692+18.4971795949727i</v>
      </c>
      <c r="Y6" t="str">
        <f t="shared" si="15"/>
        <v>0.000645321879516087i</v>
      </c>
      <c r="Z6" t="str">
        <f t="shared" si="16"/>
        <v>0.994031682649013+0.00212430024779751i</v>
      </c>
      <c r="AA6">
        <f t="shared" si="17"/>
        <v>0.99403395251951576</v>
      </c>
      <c r="AB6" t="str">
        <f t="shared" si="18"/>
        <v>81460.1232217629+7519.85342801037i</v>
      </c>
      <c r="AC6" t="str">
        <f t="shared" si="19"/>
        <v>81965.0146800748+7389.84003753178i</v>
      </c>
      <c r="AD6">
        <f t="shared" si="20"/>
        <v>7.9877559088272596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3"/>
  <sheetViews>
    <sheetView tabSelected="1" topLeftCell="F1" zoomScale="111" zoomScaleNormal="130" workbookViewId="0">
      <selection activeCell="V17" sqref="V17"/>
    </sheetView>
  </sheetViews>
  <sheetFormatPr defaultRowHeight="14.4"/>
  <cols>
    <col min="1" max="1" width="10.5546875" customWidth="1"/>
    <col min="2" max="2" width="12" bestFit="1" customWidth="1"/>
    <col min="3" max="3" width="10.21875" customWidth="1"/>
    <col min="4" max="4" width="4.21875" customWidth="1"/>
    <col min="5" max="5" width="6.44140625" customWidth="1"/>
    <col min="6" max="6" width="3.21875" customWidth="1"/>
    <col min="7" max="7" width="9.21875" bestFit="1" customWidth="1"/>
    <col min="10" max="10" width="5.21875" customWidth="1"/>
    <col min="12" max="12" width="5.77734375" customWidth="1"/>
    <col min="14" max="14" width="8.5546875" customWidth="1"/>
    <col min="15" max="15" width="5.44140625" customWidth="1"/>
    <col min="17" max="17" width="12" bestFit="1" customWidth="1"/>
    <col min="18" max="18" width="12.77734375" bestFit="1" customWidth="1"/>
    <col min="19" max="19" width="12.5546875" bestFit="1" customWidth="1"/>
    <col min="21" max="21" width="17.77734375" customWidth="1"/>
    <col min="22" max="22" width="13.77734375" customWidth="1"/>
    <col min="23" max="23" width="12.77734375" bestFit="1" customWidth="1"/>
  </cols>
  <sheetData>
    <row r="1" spans="1:22">
      <c r="A1" s="11" t="s">
        <v>57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7" t="s">
        <v>35</v>
      </c>
      <c r="B2" s="5" t="s">
        <v>36</v>
      </c>
      <c r="C2" s="6" t="s">
        <v>37</v>
      </c>
      <c r="D2" s="6" t="s">
        <v>38</v>
      </c>
      <c r="E2" s="5" t="s">
        <v>39</v>
      </c>
      <c r="F2" s="5" t="s">
        <v>40</v>
      </c>
      <c r="G2" s="5" t="s">
        <v>41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47</v>
      </c>
      <c r="N2" s="5" t="s">
        <v>48</v>
      </c>
      <c r="O2" s="5" t="s">
        <v>49</v>
      </c>
      <c r="P2" s="5" t="s">
        <v>50</v>
      </c>
      <c r="Q2" s="5" t="s">
        <v>51</v>
      </c>
      <c r="R2" s="5" t="s">
        <v>52</v>
      </c>
      <c r="S2" s="5" t="s">
        <v>53</v>
      </c>
      <c r="T2" s="5" t="s">
        <v>54</v>
      </c>
      <c r="U2" s="5" t="s">
        <v>55</v>
      </c>
      <c r="V2" s="5" t="s">
        <v>56</v>
      </c>
    </row>
    <row r="3" spans="1:22">
      <c r="A3" s="4">
        <v>5.8845999999999996E-4</v>
      </c>
      <c r="B3">
        <v>8340000000</v>
      </c>
      <c r="C3" s="4">
        <v>1.8430000000000001E-5</v>
      </c>
      <c r="D3">
        <v>0</v>
      </c>
      <c r="E3">
        <v>27</v>
      </c>
      <c r="F3">
        <v>65</v>
      </c>
      <c r="G3">
        <v>19900</v>
      </c>
      <c r="H3">
        <f>G3/2</f>
        <v>9950</v>
      </c>
      <c r="I3">
        <v>31.5</v>
      </c>
      <c r="J3">
        <v>100</v>
      </c>
      <c r="K3">
        <v>2100</v>
      </c>
      <c r="L3">
        <v>2200</v>
      </c>
      <c r="M3">
        <f>SQRT(L3^2+K3^2)</f>
        <v>3041.3812651491098</v>
      </c>
      <c r="N3">
        <v>0.25</v>
      </c>
      <c r="O3">
        <f t="shared" ref="O3:O7" si="0">L3</f>
        <v>2200</v>
      </c>
      <c r="P3" s="3">
        <f>SUM(PRODUCT(M3,M3,N3,N3,1/(24*H3^2)),PRODUCT(C3,SUM(E3,-D3)),-PRODUCT(H3,1/(B3*A3)))</f>
        <v>-1.2864805316517569E-3</v>
      </c>
      <c r="Q3">
        <f>P3*B3*A3</f>
        <v>-6313.7330626893126</v>
      </c>
      <c r="R3">
        <f>(B3*A3*O3^2*N3^2)/24</f>
        <v>61858179624.999992</v>
      </c>
      <c r="S3">
        <v>7433.15</v>
      </c>
      <c r="T3">
        <f>SUM(-S3,PRODUCT(C3,(F3-E3),A3*B3),PRODUCT(O3^2,N3^2,A3,B3,1/(24*S3^2)))</f>
        <v>-2876.4816534929141</v>
      </c>
      <c r="U3">
        <f>R3</f>
        <v>61858179624.999992</v>
      </c>
      <c r="V3">
        <v>5180.8</v>
      </c>
    </row>
    <row r="4" spans="1:22">
      <c r="A4" s="4">
        <v>5.8845999999999996E-4</v>
      </c>
      <c r="B4">
        <v>8340000000</v>
      </c>
      <c r="C4" s="4">
        <v>1.8430000000000001E-5</v>
      </c>
      <c r="D4">
        <v>0</v>
      </c>
      <c r="E4">
        <v>27</v>
      </c>
      <c r="F4">
        <v>65</v>
      </c>
      <c r="G4">
        <v>19900</v>
      </c>
      <c r="H4">
        <f t="shared" ref="H4:H7" si="1">G4/2</f>
        <v>9950</v>
      </c>
      <c r="I4">
        <v>31.5</v>
      </c>
      <c r="J4">
        <v>100</v>
      </c>
      <c r="K4">
        <f t="shared" ref="K4:K7" si="2">J4*1000*I4*10^-3*(2/3)</f>
        <v>2100</v>
      </c>
      <c r="L4">
        <v>2200</v>
      </c>
      <c r="M4">
        <f>SQRT(L4^2+K4^2)</f>
        <v>3041.3812651491098</v>
      </c>
      <c r="N4">
        <v>0.27500000000000002</v>
      </c>
      <c r="O4">
        <f t="shared" si="0"/>
        <v>2200</v>
      </c>
      <c r="P4" s="3">
        <f t="shared" ref="P4:P7" si="3">SUM(PRODUCT(M4,M4,N4,N4,1/(24*H4^2)),PRODUCT(C4,SUM(E4,-D4)),-PRODUCT(H4,1/(B4*A4)))</f>
        <v>-1.2353849153794404E-3</v>
      </c>
      <c r="Q4">
        <f t="shared" ref="Q4:Q7" si="4">P4*B4*A4</f>
        <v>-6062.9682249169064</v>
      </c>
      <c r="R4">
        <f>(B4*A4*O4^2*N4^2)/24</f>
        <v>74848397346.25</v>
      </c>
      <c r="S4">
        <v>7421.68</v>
      </c>
      <c r="T4">
        <f t="shared" ref="T4:T7" si="5">SUM(-S4,PRODUCT(C4,(F4-E4),A4*B4),PRODUCT(O4^2,N4^2,A4,B4,1/(24*S4^2)))</f>
        <v>-2625.7114292541701</v>
      </c>
      <c r="U4">
        <f>R4</f>
        <v>74848397346.25</v>
      </c>
      <c r="V4">
        <v>5295.01</v>
      </c>
    </row>
    <row r="5" spans="1:22">
      <c r="A5" s="4">
        <v>5.8845999999999996E-4</v>
      </c>
      <c r="B5">
        <v>8340000000</v>
      </c>
      <c r="C5" s="4">
        <v>1.8430000000000001E-5</v>
      </c>
      <c r="D5">
        <v>0</v>
      </c>
      <c r="E5">
        <v>27</v>
      </c>
      <c r="F5">
        <v>65</v>
      </c>
      <c r="G5">
        <v>19900</v>
      </c>
      <c r="H5">
        <f t="shared" si="1"/>
        <v>9950</v>
      </c>
      <c r="I5">
        <v>31.5</v>
      </c>
      <c r="J5">
        <v>100</v>
      </c>
      <c r="K5">
        <f t="shared" si="2"/>
        <v>2100</v>
      </c>
      <c r="L5">
        <v>2200</v>
      </c>
      <c r="M5">
        <f>SQRT(L5^2+K5^2)</f>
        <v>3041.3812651491098</v>
      </c>
      <c r="N5">
        <v>0.3</v>
      </c>
      <c r="O5">
        <f t="shared" si="0"/>
        <v>2200</v>
      </c>
      <c r="P5" s="3">
        <f t="shared" si="3"/>
        <v>-1.1794230499383321E-3</v>
      </c>
      <c r="Q5">
        <f t="shared" si="4"/>
        <v>-5788.3210216423686</v>
      </c>
      <c r="R5">
        <f>(B5*A5*O5^2*N5^2)/24</f>
        <v>89075778659.999985</v>
      </c>
      <c r="S5">
        <v>7410.33</v>
      </c>
      <c r="T5">
        <f t="shared" si="5"/>
        <v>-2351.1060887254625</v>
      </c>
      <c r="U5">
        <f>R5</f>
        <v>89075778659.999985</v>
      </c>
      <c r="V5">
        <v>5402.64</v>
      </c>
    </row>
    <row r="6" spans="1:22">
      <c r="A6" s="4">
        <v>5.8845999999999996E-4</v>
      </c>
      <c r="B6">
        <v>8340000000</v>
      </c>
      <c r="C6" s="4">
        <v>1.8430000000000001E-5</v>
      </c>
      <c r="D6">
        <v>0</v>
      </c>
      <c r="E6">
        <v>27</v>
      </c>
      <c r="F6">
        <v>65</v>
      </c>
      <c r="G6">
        <v>19900</v>
      </c>
      <c r="H6">
        <f t="shared" si="1"/>
        <v>9950</v>
      </c>
      <c r="I6">
        <v>31.5</v>
      </c>
      <c r="J6">
        <v>100</v>
      </c>
      <c r="K6">
        <f t="shared" si="2"/>
        <v>2100</v>
      </c>
      <c r="L6">
        <v>2200</v>
      </c>
      <c r="M6">
        <f>SQRT(L6^2+K6^2)</f>
        <v>3041.3812651491098</v>
      </c>
      <c r="N6">
        <v>0.32500000000000001</v>
      </c>
      <c r="O6">
        <f t="shared" si="0"/>
        <v>2200</v>
      </c>
      <c r="P6" s="3">
        <f t="shared" si="3"/>
        <v>-1.1185949353284316E-3</v>
      </c>
      <c r="Q6">
        <f t="shared" si="4"/>
        <v>-5489.7914528656966</v>
      </c>
      <c r="R6">
        <f>(B6*A6*O6^2*N6^2)/24</f>
        <v>104540323566.25</v>
      </c>
      <c r="S6">
        <v>7398.75</v>
      </c>
      <c r="T6">
        <f t="shared" si="5"/>
        <v>-2051.9431502841517</v>
      </c>
      <c r="U6">
        <f>R6</f>
        <v>104540323566.25</v>
      </c>
      <c r="V6">
        <v>5735.84</v>
      </c>
    </row>
    <row r="7" spans="1:22">
      <c r="A7" s="4">
        <v>5.8845999999999996E-4</v>
      </c>
      <c r="B7">
        <v>8340000000</v>
      </c>
      <c r="C7" s="4">
        <v>1.8430000000000001E-5</v>
      </c>
      <c r="D7">
        <v>0</v>
      </c>
      <c r="E7">
        <v>27</v>
      </c>
      <c r="F7">
        <v>65</v>
      </c>
      <c r="G7">
        <v>19900</v>
      </c>
      <c r="H7">
        <f t="shared" si="1"/>
        <v>9950</v>
      </c>
      <c r="I7">
        <v>31.5</v>
      </c>
      <c r="J7">
        <v>100</v>
      </c>
      <c r="K7">
        <f t="shared" si="2"/>
        <v>2100</v>
      </c>
      <c r="L7">
        <v>2200</v>
      </c>
      <c r="M7">
        <f>SQRT(L7^2+K7^2)</f>
        <v>3041.3812651491098</v>
      </c>
      <c r="N7">
        <v>0.35</v>
      </c>
      <c r="O7">
        <f t="shared" si="0"/>
        <v>2200</v>
      </c>
      <c r="P7" s="3">
        <f t="shared" si="3"/>
        <v>-1.0529005715497392E-3</v>
      </c>
      <c r="Q7">
        <f t="shared" si="4"/>
        <v>-5167.3795185868903</v>
      </c>
      <c r="R7">
        <f>(B7*A7*O7^2*N7^2)/24</f>
        <v>121242032064.99995</v>
      </c>
      <c r="S7">
        <v>7387.91</v>
      </c>
      <c r="T7">
        <f t="shared" si="5"/>
        <v>-1729.4975732595954</v>
      </c>
      <c r="U7">
        <f>R7</f>
        <v>121242032064.99995</v>
      </c>
      <c r="V7">
        <v>5597.6</v>
      </c>
    </row>
    <row r="8" spans="1:22">
      <c r="A8" s="10" t="s">
        <v>58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7" t="s">
        <v>35</v>
      </c>
      <c r="B9" s="5" t="s">
        <v>36</v>
      </c>
      <c r="C9" s="6" t="s">
        <v>37</v>
      </c>
      <c r="D9" s="6" t="s">
        <v>38</v>
      </c>
      <c r="E9" s="5" t="s">
        <v>39</v>
      </c>
      <c r="F9" s="5" t="s">
        <v>40</v>
      </c>
      <c r="G9" s="5" t="s">
        <v>41</v>
      </c>
      <c r="H9" s="5" t="s">
        <v>42</v>
      </c>
      <c r="I9" s="5" t="s">
        <v>43</v>
      </c>
      <c r="J9" s="5" t="s">
        <v>44</v>
      </c>
      <c r="K9" s="5" t="s">
        <v>45</v>
      </c>
      <c r="L9" s="5" t="s">
        <v>46</v>
      </c>
      <c r="M9" s="5" t="s">
        <v>47</v>
      </c>
      <c r="N9" s="5" t="s">
        <v>48</v>
      </c>
      <c r="O9" s="5" t="s">
        <v>49</v>
      </c>
      <c r="P9" s="5" t="s">
        <v>50</v>
      </c>
      <c r="Q9" s="5" t="s">
        <v>51</v>
      </c>
      <c r="R9" s="5" t="s">
        <v>52</v>
      </c>
      <c r="S9" s="5" t="s">
        <v>53</v>
      </c>
      <c r="T9" s="5" t="s">
        <v>54</v>
      </c>
      <c r="U9" s="5" t="s">
        <v>55</v>
      </c>
      <c r="V9" s="5" t="s">
        <v>56</v>
      </c>
    </row>
    <row r="10" spans="1:22">
      <c r="A10" s="4">
        <f>326.12*10^-6</f>
        <v>3.2612E-4</v>
      </c>
      <c r="B10">
        <v>8340000000</v>
      </c>
      <c r="C10" s="4">
        <v>1.8430000000000001E-5</v>
      </c>
      <c r="D10">
        <v>0</v>
      </c>
      <c r="E10">
        <v>27</v>
      </c>
      <c r="F10">
        <v>65</v>
      </c>
      <c r="G10">
        <v>14700</v>
      </c>
      <c r="H10">
        <f>G10/2</f>
        <v>7350</v>
      </c>
      <c r="I10">
        <v>30.15</v>
      </c>
      <c r="J10">
        <v>100</v>
      </c>
      <c r="K10">
        <f>J10*1000*I10*10^-3*(2/3)</f>
        <v>2010</v>
      </c>
      <c r="L10">
        <v>1220</v>
      </c>
      <c r="M10">
        <f t="shared" ref="M10:M14" si="6">SQRT(L10^2+K10^2)</f>
        <v>2351.276249188938</v>
      </c>
      <c r="N10">
        <v>0.25</v>
      </c>
      <c r="O10">
        <f t="shared" ref="O10:O14" si="7">L10</f>
        <v>1220</v>
      </c>
      <c r="P10" s="3">
        <f>SUM(PRODUCT(M10,M10,N10,N10,1/(24*H10^2)),PRODUCT(C10,SUM(E10,-D10)),-PRODUCT(H10,1/(B10*A10)))</f>
        <v>-1.9382514740440455E-3</v>
      </c>
      <c r="Q10">
        <f>P10*B10*A10</f>
        <v>-5271.7354397651361</v>
      </c>
      <c r="R10">
        <f>(B10*A10*O10^2*N10^2)/24</f>
        <v>10542216267.499998</v>
      </c>
      <c r="S10">
        <v>5606.98</v>
      </c>
      <c r="T10">
        <f>SUM(-S10,PRODUCT(C10,(F10-E10),A10*B10),PRODUCT(O10^2,N10^2,A10,B10,1/(24*S10^2)))</f>
        <v>-3366.8355371921803</v>
      </c>
      <c r="U10">
        <f t="shared" ref="U10:U14" si="8">R10</f>
        <v>10542216267.499998</v>
      </c>
      <c r="V10">
        <v>4019.28</v>
      </c>
    </row>
    <row r="11" spans="1:22">
      <c r="A11" s="4">
        <f t="shared" ref="A11:A14" si="9">326.12*10^-6</f>
        <v>3.2612E-4</v>
      </c>
      <c r="B11">
        <v>8340000000</v>
      </c>
      <c r="C11" s="4">
        <v>1.8430000000000001E-5</v>
      </c>
      <c r="D11">
        <v>0</v>
      </c>
      <c r="E11">
        <v>27</v>
      </c>
      <c r="F11">
        <v>65</v>
      </c>
      <c r="G11">
        <v>14700</v>
      </c>
      <c r="H11">
        <f t="shared" ref="H11:H14" si="10">G11/2</f>
        <v>7350</v>
      </c>
      <c r="I11">
        <v>30.15</v>
      </c>
      <c r="J11">
        <v>100</v>
      </c>
      <c r="K11">
        <f t="shared" ref="K11:K14" si="11">J11*1000*I11*10^-3*(2/3)</f>
        <v>2010</v>
      </c>
      <c r="L11">
        <v>1220</v>
      </c>
      <c r="M11">
        <f t="shared" si="6"/>
        <v>2351.276249188938</v>
      </c>
      <c r="N11">
        <v>0.27500000000000002</v>
      </c>
      <c r="O11">
        <f t="shared" si="7"/>
        <v>1220</v>
      </c>
      <c r="P11" s="3">
        <f t="shared" ref="P11:P14" si="12">SUM(PRODUCT(M11,M11,N11,N11,1/(24*H11^2)),PRODUCT(C11,SUM(E11,-D11)),-PRODUCT(H11,1/(B11*A11)))</f>
        <v>-1.8822859330657493E-3</v>
      </c>
      <c r="Q11">
        <f t="shared" ref="Q11:Q14" si="13">P11*B11*A11</f>
        <v>-5119.5180780182936</v>
      </c>
      <c r="R11">
        <f t="shared" ref="R11:R14" si="14">(B11*A11*O11^2*N11^2)/24</f>
        <v>12756081683.675001</v>
      </c>
      <c r="S11">
        <v>5535.59</v>
      </c>
      <c r="T11">
        <f t="shared" ref="T11:T14" si="15">SUM(-S11,PRODUCT(C11,(F11-E11),A11*B11),PRODUCT(O11^2,N11^2,A11,B11,1/(24*S11^2)))</f>
        <v>-3214.4929429575277</v>
      </c>
      <c r="U11">
        <f t="shared" si="8"/>
        <v>12756081683.675001</v>
      </c>
      <c r="V11">
        <v>4008.13</v>
      </c>
    </row>
    <row r="12" spans="1:22">
      <c r="A12" s="4">
        <f t="shared" si="9"/>
        <v>3.2612E-4</v>
      </c>
      <c r="B12">
        <v>8340000000</v>
      </c>
      <c r="C12" s="4">
        <v>1.8430000000000001E-5</v>
      </c>
      <c r="D12">
        <v>0</v>
      </c>
      <c r="E12">
        <v>27</v>
      </c>
      <c r="F12">
        <v>65</v>
      </c>
      <c r="G12">
        <v>14700</v>
      </c>
      <c r="H12">
        <f t="shared" si="10"/>
        <v>7350</v>
      </c>
      <c r="I12">
        <v>30.15</v>
      </c>
      <c r="J12">
        <v>100</v>
      </c>
      <c r="K12">
        <f t="shared" si="11"/>
        <v>2010</v>
      </c>
      <c r="L12">
        <v>1220</v>
      </c>
      <c r="M12">
        <f t="shared" si="6"/>
        <v>2351.276249188938</v>
      </c>
      <c r="N12">
        <v>0.3</v>
      </c>
      <c r="O12">
        <f t="shared" si="7"/>
        <v>1220</v>
      </c>
      <c r="P12" s="3">
        <f t="shared" si="12"/>
        <v>-1.8209903405657108E-3</v>
      </c>
      <c r="Q12">
        <f t="shared" si="13"/>
        <v>-4952.8038246765154</v>
      </c>
      <c r="R12">
        <f t="shared" si="14"/>
        <v>15180791425.199997</v>
      </c>
      <c r="S12">
        <v>5461.68</v>
      </c>
      <c r="T12">
        <f t="shared" si="15"/>
        <v>-3047.9556088577224</v>
      </c>
      <c r="U12">
        <f t="shared" si="8"/>
        <v>15180791425.199997</v>
      </c>
      <c r="V12">
        <v>3997.76</v>
      </c>
    </row>
    <row r="13" spans="1:22">
      <c r="A13" s="4">
        <f t="shared" si="9"/>
        <v>3.2612E-4</v>
      </c>
      <c r="B13">
        <v>8340000000</v>
      </c>
      <c r="C13" s="4">
        <v>1.8430000000000001E-5</v>
      </c>
      <c r="D13">
        <v>0</v>
      </c>
      <c r="E13">
        <v>27</v>
      </c>
      <c r="F13">
        <v>65</v>
      </c>
      <c r="G13">
        <v>14700</v>
      </c>
      <c r="H13">
        <f t="shared" si="10"/>
        <v>7350</v>
      </c>
      <c r="I13">
        <v>30.15</v>
      </c>
      <c r="J13">
        <v>100</v>
      </c>
      <c r="K13">
        <f t="shared" si="11"/>
        <v>2010</v>
      </c>
      <c r="L13">
        <v>1220</v>
      </c>
      <c r="M13">
        <f t="shared" si="6"/>
        <v>2351.276249188938</v>
      </c>
      <c r="N13">
        <v>0.32500000000000001</v>
      </c>
      <c r="O13">
        <f t="shared" si="7"/>
        <v>1220</v>
      </c>
      <c r="P13" s="3">
        <f t="shared" si="12"/>
        <v>-1.7543646965439297E-3</v>
      </c>
      <c r="Q13">
        <f t="shared" si="13"/>
        <v>-4771.5926797397988</v>
      </c>
      <c r="R13">
        <f t="shared" si="14"/>
        <v>17816345492.075001</v>
      </c>
      <c r="S13">
        <v>5385.62</v>
      </c>
      <c r="T13">
        <f t="shared" si="15"/>
        <v>-2866.5537995567638</v>
      </c>
      <c r="U13">
        <f t="shared" si="8"/>
        <v>17816345492.075001</v>
      </c>
      <c r="V13">
        <v>3986.96</v>
      </c>
    </row>
    <row r="14" spans="1:22">
      <c r="A14" s="4">
        <f t="shared" si="9"/>
        <v>3.2612E-4</v>
      </c>
      <c r="B14">
        <v>8340000000</v>
      </c>
      <c r="C14" s="4">
        <v>1.8430000000000001E-5</v>
      </c>
      <c r="D14">
        <v>0</v>
      </c>
      <c r="E14">
        <v>27</v>
      </c>
      <c r="F14">
        <v>65</v>
      </c>
      <c r="G14">
        <v>14700</v>
      </c>
      <c r="H14">
        <f t="shared" si="10"/>
        <v>7350</v>
      </c>
      <c r="I14">
        <v>30.15</v>
      </c>
      <c r="J14">
        <v>100</v>
      </c>
      <c r="K14">
        <f t="shared" si="11"/>
        <v>2010</v>
      </c>
      <c r="L14">
        <v>1220</v>
      </c>
      <c r="M14">
        <f t="shared" si="6"/>
        <v>2351.276249188938</v>
      </c>
      <c r="N14">
        <v>0.35</v>
      </c>
      <c r="O14">
        <f t="shared" si="7"/>
        <v>1220</v>
      </c>
      <c r="P14" s="3">
        <f t="shared" si="12"/>
        <v>-1.6824090010004063E-3</v>
      </c>
      <c r="Q14">
        <f t="shared" si="13"/>
        <v>-4575.8846432081455</v>
      </c>
      <c r="R14">
        <f t="shared" si="14"/>
        <v>20662743884.299995</v>
      </c>
      <c r="S14">
        <v>5308.9</v>
      </c>
      <c r="T14">
        <f t="shared" si="15"/>
        <v>-2670.9602198748516</v>
      </c>
      <c r="U14">
        <f t="shared" si="8"/>
        <v>20662743884.299995</v>
      </c>
      <c r="V14">
        <v>3977.11</v>
      </c>
    </row>
    <row r="15" spans="1:22">
      <c r="A15" s="10" t="s">
        <v>59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>
      <c r="A16" s="7" t="s">
        <v>35</v>
      </c>
      <c r="B16" s="5" t="s">
        <v>36</v>
      </c>
      <c r="C16" s="6" t="s">
        <v>37</v>
      </c>
      <c r="D16" s="6" t="s">
        <v>38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  <c r="J16" s="5" t="s">
        <v>44</v>
      </c>
      <c r="K16" s="5" t="s">
        <v>45</v>
      </c>
      <c r="L16" s="5" t="s">
        <v>46</v>
      </c>
      <c r="M16" s="5" t="s">
        <v>47</v>
      </c>
      <c r="N16" s="5" t="s">
        <v>48</v>
      </c>
      <c r="O16" s="5" t="s">
        <v>49</v>
      </c>
      <c r="P16" s="5" t="s">
        <v>50</v>
      </c>
      <c r="Q16" s="5" t="s">
        <v>51</v>
      </c>
      <c r="R16" s="5" t="s">
        <v>52</v>
      </c>
      <c r="S16" s="5" t="s">
        <v>53</v>
      </c>
      <c r="T16" s="5" t="s">
        <v>54</v>
      </c>
      <c r="U16" s="5" t="s">
        <v>55</v>
      </c>
      <c r="V16" s="5" t="s">
        <v>56</v>
      </c>
    </row>
    <row r="17" spans="1:22">
      <c r="A17">
        <f>300.98*10^-6</f>
        <v>3.0098000000000001E-4</v>
      </c>
      <c r="B17">
        <v>8340000000</v>
      </c>
      <c r="C17" s="4">
        <v>1.8430000000000001E-5</v>
      </c>
      <c r="D17">
        <v>0</v>
      </c>
      <c r="E17">
        <v>27</v>
      </c>
      <c r="F17">
        <v>65</v>
      </c>
      <c r="G17">
        <v>16200</v>
      </c>
      <c r="H17">
        <f>G17/2</f>
        <v>8100</v>
      </c>
      <c r="I17">
        <v>31.77</v>
      </c>
      <c r="J17">
        <v>100</v>
      </c>
      <c r="K17">
        <f>J17*1000*I17*10^-3*(2/3)</f>
        <v>2118</v>
      </c>
      <c r="L17">
        <v>1500</v>
      </c>
      <c r="M17">
        <f t="shared" ref="M17:M21" si="16">SQRT(L17^2+K17^2)</f>
        <v>2595.3658701616619</v>
      </c>
      <c r="N17">
        <v>0.25</v>
      </c>
      <c r="O17">
        <f t="shared" ref="O17:O21" si="17">L17</f>
        <v>1500</v>
      </c>
      <c r="P17" s="3">
        <f>SUM(PRODUCT(M17,M17,N17,N17,1/(24*H17^2)),PRODUCT(C17,SUM(E17,-D17)),-PRODUCT(H17,1/(B17*A17)))</f>
        <v>-2.4618992844383071E-3</v>
      </c>
      <c r="Q17">
        <f>P17*B17*A17</f>
        <v>-6179.7936048962156</v>
      </c>
      <c r="R17">
        <f>(B17*A17*O17^2*N17^2)/24</f>
        <v>14708046093.75</v>
      </c>
      <c r="S17">
        <v>6525.05</v>
      </c>
      <c r="T17">
        <f>SUM(-S17,PRODUCT(C17,(F17-E17),A17*B17),PRODUCT(O17^2,N17^2,A17,B17,1/(24*S17^2)))</f>
        <v>-4421.6236328000768</v>
      </c>
      <c r="U17">
        <f t="shared" ref="U17:U21" si="18">R17</f>
        <v>14708046093.75</v>
      </c>
      <c r="V17">
        <v>5007.79</v>
      </c>
    </row>
    <row r="18" spans="1:22">
      <c r="A18">
        <f t="shared" ref="A18:A21" si="19">300.98*10^-6</f>
        <v>3.0098000000000001E-4</v>
      </c>
      <c r="B18">
        <v>8340000000</v>
      </c>
      <c r="C18" s="4">
        <v>1.8430000000000001E-5</v>
      </c>
      <c r="D18">
        <v>0</v>
      </c>
      <c r="E18">
        <v>27</v>
      </c>
      <c r="F18">
        <v>65</v>
      </c>
      <c r="G18">
        <v>16200</v>
      </c>
      <c r="H18">
        <f t="shared" ref="H18:H21" si="20">G18/2</f>
        <v>8100</v>
      </c>
      <c r="I18">
        <v>31.77</v>
      </c>
      <c r="J18">
        <v>100</v>
      </c>
      <c r="K18">
        <f t="shared" ref="K18:K21" si="21">J18*1000*I18*10^-3*(2/3)</f>
        <v>2118</v>
      </c>
      <c r="L18">
        <v>1500</v>
      </c>
      <c r="M18">
        <f t="shared" si="16"/>
        <v>2595.3658701616619</v>
      </c>
      <c r="N18">
        <v>0.27500000000000002</v>
      </c>
      <c r="O18">
        <f t="shared" si="17"/>
        <v>1500</v>
      </c>
      <c r="P18" s="3">
        <f t="shared" ref="P18:P21" si="22">SUM(PRODUCT(M18,M18,N18,N18,1/(24*H18^2)),PRODUCT(C18,SUM(E18,-D18)),-PRODUCT(H18,1/(B18*A18)))</f>
        <v>-2.4057537511735609E-3</v>
      </c>
      <c r="Q18">
        <f t="shared" ref="Q18:Q21" si="23">P18*B18*A18</f>
        <v>-6038.8585919953412</v>
      </c>
      <c r="R18">
        <f t="shared" ref="R18:R21" si="24">(B18*A18*O18^2*N18^2)/24</f>
        <v>17796735773.437504</v>
      </c>
      <c r="S18">
        <v>6464.54</v>
      </c>
      <c r="T18">
        <f t="shared" ref="T18:T21" si="25">SUM(-S18,PRODUCT(C18,(F18-E18),A18*B18),PRODUCT(O18^2,N18^2,A18,B18,1/(24*S18^2)))</f>
        <v>-4280.7070183790511</v>
      </c>
      <c r="U18">
        <f t="shared" si="18"/>
        <v>17796735773.437504</v>
      </c>
      <c r="V18">
        <v>4994.01</v>
      </c>
    </row>
    <row r="19" spans="1:22">
      <c r="A19">
        <f t="shared" si="19"/>
        <v>3.0098000000000001E-4</v>
      </c>
      <c r="B19">
        <v>8340000000</v>
      </c>
      <c r="C19" s="4">
        <v>1.8430000000000001E-5</v>
      </c>
      <c r="D19">
        <v>0</v>
      </c>
      <c r="E19">
        <v>27</v>
      </c>
      <c r="F19">
        <v>65</v>
      </c>
      <c r="G19">
        <v>16200</v>
      </c>
      <c r="H19">
        <f t="shared" si="20"/>
        <v>8100</v>
      </c>
      <c r="I19">
        <v>31.77</v>
      </c>
      <c r="J19">
        <v>100</v>
      </c>
      <c r="K19">
        <f t="shared" si="21"/>
        <v>2118</v>
      </c>
      <c r="L19">
        <v>1500</v>
      </c>
      <c r="M19">
        <f t="shared" si="16"/>
        <v>2595.3658701616619</v>
      </c>
      <c r="N19">
        <v>0.3</v>
      </c>
      <c r="O19">
        <f t="shared" si="17"/>
        <v>1500</v>
      </c>
      <c r="P19" s="3">
        <f t="shared" si="22"/>
        <v>-2.3442610242645533E-3</v>
      </c>
      <c r="Q19">
        <f t="shared" si="23"/>
        <v>-5884.5011969134312</v>
      </c>
      <c r="R19">
        <f t="shared" si="24"/>
        <v>21179586375</v>
      </c>
      <c r="S19">
        <v>6401.15</v>
      </c>
      <c r="T19">
        <f t="shared" si="25"/>
        <v>-4126.281331088343</v>
      </c>
      <c r="U19">
        <f t="shared" si="18"/>
        <v>21179586375</v>
      </c>
      <c r="V19">
        <v>4979.92</v>
      </c>
    </row>
    <row r="20" spans="1:22">
      <c r="A20">
        <f t="shared" si="19"/>
        <v>3.0098000000000001E-4</v>
      </c>
      <c r="B20">
        <v>8340000000</v>
      </c>
      <c r="C20" s="4">
        <v>1.8430000000000001E-5</v>
      </c>
      <c r="D20">
        <v>0</v>
      </c>
      <c r="E20">
        <v>27</v>
      </c>
      <c r="F20">
        <v>65</v>
      </c>
      <c r="G20">
        <v>16200</v>
      </c>
      <c r="H20">
        <f t="shared" si="20"/>
        <v>8100</v>
      </c>
      <c r="I20">
        <v>31.77</v>
      </c>
      <c r="J20">
        <v>100</v>
      </c>
      <c r="K20">
        <f t="shared" si="21"/>
        <v>2118</v>
      </c>
      <c r="L20">
        <v>1500</v>
      </c>
      <c r="M20">
        <f t="shared" si="16"/>
        <v>2595.3658701616619</v>
      </c>
      <c r="N20">
        <v>0.32500000000000001</v>
      </c>
      <c r="O20">
        <f t="shared" si="17"/>
        <v>1500</v>
      </c>
      <c r="P20" s="3">
        <f t="shared" si="22"/>
        <v>-2.2774211037112839E-3</v>
      </c>
      <c r="Q20">
        <f t="shared" si="23"/>
        <v>-5716.7214196504856</v>
      </c>
      <c r="R20">
        <f t="shared" si="24"/>
        <v>24856597898.4375</v>
      </c>
      <c r="S20">
        <v>6335.77</v>
      </c>
      <c r="T20">
        <f t="shared" si="25"/>
        <v>-3958.5782875514233</v>
      </c>
      <c r="U20">
        <f t="shared" si="18"/>
        <v>24856597898.4375</v>
      </c>
      <c r="V20">
        <v>4966.16</v>
      </c>
    </row>
    <row r="21" spans="1:22">
      <c r="A21">
        <f t="shared" si="19"/>
        <v>3.0098000000000001E-4</v>
      </c>
      <c r="B21">
        <v>8340000000</v>
      </c>
      <c r="C21" s="4">
        <v>1.8430000000000001E-5</v>
      </c>
      <c r="D21">
        <v>0</v>
      </c>
      <c r="E21">
        <v>27</v>
      </c>
      <c r="F21">
        <v>65</v>
      </c>
      <c r="G21">
        <v>16200</v>
      </c>
      <c r="H21">
        <f t="shared" si="20"/>
        <v>8100</v>
      </c>
      <c r="I21">
        <v>31.77</v>
      </c>
      <c r="J21">
        <v>100</v>
      </c>
      <c r="K21">
        <f t="shared" si="21"/>
        <v>2118</v>
      </c>
      <c r="L21">
        <v>1500</v>
      </c>
      <c r="M21">
        <f t="shared" si="16"/>
        <v>2595.3658701616619</v>
      </c>
      <c r="N21">
        <v>0.35</v>
      </c>
      <c r="O21">
        <f t="shared" si="17"/>
        <v>1500</v>
      </c>
      <c r="P21" s="3">
        <f t="shared" si="22"/>
        <v>-2.2052339895137531E-3</v>
      </c>
      <c r="Q21">
        <f t="shared" si="23"/>
        <v>-5535.5192602065035</v>
      </c>
      <c r="R21">
        <f t="shared" si="24"/>
        <v>28827770343.749996</v>
      </c>
      <c r="S21">
        <v>5309.3272999999999</v>
      </c>
      <c r="T21">
        <f t="shared" si="25"/>
        <v>-2528.6907488374204</v>
      </c>
      <c r="U21">
        <f t="shared" si="18"/>
        <v>28827770343.749996</v>
      </c>
      <c r="V21">
        <v>4178.96</v>
      </c>
    </row>
    <row r="22" spans="1:2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>
      <c r="A23" s="7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4"/>
      <c r="C24" s="4"/>
      <c r="P24" s="3"/>
    </row>
    <row r="25" spans="1:22">
      <c r="A25" s="4"/>
      <c r="C25" s="4"/>
      <c r="P25" s="3"/>
    </row>
    <row r="26" spans="1:22">
      <c r="A26" s="4"/>
      <c r="C26" s="4"/>
      <c r="P26" s="3"/>
    </row>
    <row r="27" spans="1:22">
      <c r="A27" s="4"/>
      <c r="C27" s="4"/>
      <c r="P27" s="3"/>
    </row>
    <row r="28" spans="1:22">
      <c r="A28" s="4"/>
      <c r="C28" s="4"/>
      <c r="P28" s="3"/>
    </row>
    <row r="36" spans="23:24">
      <c r="W36" s="8"/>
      <c r="X36" s="8"/>
    </row>
    <row r="43" spans="23:24">
      <c r="W43" s="8"/>
    </row>
  </sheetData>
  <mergeCells count="4">
    <mergeCell ref="A15:V15"/>
    <mergeCell ref="A8:V8"/>
    <mergeCell ref="A22:V22"/>
    <mergeCell ref="A1:V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URSA</dc:creator>
  <cp:keywords/>
  <dc:description/>
  <cp:lastModifiedBy>Dell</cp:lastModifiedBy>
  <cp:revision/>
  <dcterms:created xsi:type="dcterms:W3CDTF">2024-01-07T16:09:55Z</dcterms:created>
  <dcterms:modified xsi:type="dcterms:W3CDTF">2024-02-04T14:02:59Z</dcterms:modified>
  <cp:category/>
  <cp:contentStatus/>
</cp:coreProperties>
</file>